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aDiego\Documents\Personales\Universidad\Formulación de Proyectos\Reciclaje\"/>
    </mc:Choice>
  </mc:AlternateContent>
  <bookViews>
    <workbookView xWindow="0" yWindow="0" windowWidth="24000" windowHeight="9435" firstSheet="3" activeTab="5"/>
  </bookViews>
  <sheets>
    <sheet name="Capacidad" sheetId="10" r:id="rId1"/>
    <sheet name="Presupuesto recurso humano" sheetId="12" r:id="rId2"/>
    <sheet name="Gastos primer año" sheetId="11" r:id="rId3"/>
    <sheet name="Pres. Ingresos, costos y gastos" sheetId="2" r:id="rId4"/>
    <sheet name="Plan de inversión" sheetId="6" r:id="rId5"/>
    <sheet name="P y G" sheetId="5" r:id="rId6"/>
    <sheet name="FC y B" sheetId="4" r:id="rId7"/>
    <sheet name="INDICADORES" sheetId="16" r:id="rId8"/>
    <sheet name="WACC" sheetId="13" r:id="rId9"/>
    <sheet name="VPN &amp; EVA" sheetId="15" r:id="rId10"/>
    <sheet name="Evaluación" sheetId="7" state="hidden" r:id="rId11"/>
  </sheets>
  <externalReferences>
    <externalReference r:id="rId12"/>
    <externalReference r:id="rId13"/>
  </externalReferences>
  <definedNames>
    <definedName name="_xlnm.Print_Area" localSheetId="9">'VPN &amp; EVA'!$A$1:$F$30</definedName>
    <definedName name="_xlnm.Print_Area" localSheetId="8">WACC!$A$1:$M$29</definedName>
    <definedName name="Caja" localSheetId="9">'[2]Criterios de Proyección'!$G$24</definedName>
    <definedName name="ke">WACC!$K$9</definedName>
    <definedName name="ko">WACC!$I$14</definedName>
    <definedName name="ppe" localSheetId="9">'[2]Criterios de Proyección'!$G$20</definedName>
    <definedName name="ppep" localSheetId="9">'[2]Criterios de Proyección'!$G$21</definedName>
    <definedName name="tax" localSheetId="9">'[2]Criterios de Proyección'!$B$7</definedName>
    <definedName name="wacc">WACC!$I$7</definedName>
  </definedNames>
  <calcPr calcId="152511"/>
</workbook>
</file>

<file path=xl/calcChain.xml><?xml version="1.0" encoding="utf-8"?>
<calcChain xmlns="http://schemas.openxmlformats.org/spreadsheetml/2006/main">
  <c r="F14" i="15" l="1"/>
  <c r="E14" i="15"/>
  <c r="C14" i="15"/>
  <c r="D14" i="15"/>
  <c r="B14" i="15"/>
  <c r="K16" i="13" l="1"/>
  <c r="K15" i="13"/>
  <c r="K14" i="13"/>
  <c r="J12" i="13"/>
  <c r="I7" i="13"/>
  <c r="H15" i="6"/>
  <c r="K9" i="13"/>
  <c r="F11" i="16" l="1"/>
  <c r="F10" i="16"/>
  <c r="D9" i="16"/>
  <c r="E9" i="16"/>
  <c r="F9" i="16"/>
  <c r="C9" i="16"/>
  <c r="B9" i="16"/>
  <c r="D8" i="16"/>
  <c r="E8" i="16"/>
  <c r="F8" i="16"/>
  <c r="C8" i="16"/>
  <c r="B8" i="16"/>
  <c r="B6" i="15"/>
  <c r="B13" i="15"/>
  <c r="H34" i="5"/>
  <c r="D5" i="15"/>
  <c r="D6" i="15" s="1"/>
  <c r="D13" i="15" s="1"/>
  <c r="E5" i="15"/>
  <c r="E6" i="15" s="1"/>
  <c r="E13" i="15" s="1"/>
  <c r="F5" i="15"/>
  <c r="F6" i="15" s="1"/>
  <c r="F13" i="15" s="1"/>
  <c r="C5" i="15"/>
  <c r="C6" i="15" s="1"/>
  <c r="C13" i="15" s="1"/>
  <c r="B5" i="15"/>
  <c r="I13" i="13"/>
  <c r="K6" i="13" l="1"/>
  <c r="C10" i="13"/>
  <c r="C9" i="13"/>
  <c r="I6" i="13"/>
  <c r="B18" i="15" l="1"/>
  <c r="B21" i="15" s="1"/>
  <c r="C18" i="15"/>
  <c r="C21" i="15" s="1"/>
  <c r="E18" i="15"/>
  <c r="E21" i="15" s="1"/>
  <c r="F18" i="15"/>
  <c r="F21" i="15" s="1"/>
  <c r="D18" i="15"/>
  <c r="D21" i="15" s="1"/>
  <c r="K57" i="10"/>
  <c r="L57" i="10"/>
  <c r="M57" i="10"/>
  <c r="N57" i="10"/>
  <c r="O57" i="10"/>
  <c r="J57" i="10"/>
  <c r="I58" i="10"/>
  <c r="E45" i="2" l="1"/>
  <c r="D45" i="2"/>
  <c r="E15" i="6"/>
  <c r="C26" i="4" s="1"/>
  <c r="D16" i="6"/>
  <c r="C16" i="6"/>
  <c r="E17" i="12"/>
  <c r="E18" i="12" s="1"/>
  <c r="C18" i="12"/>
  <c r="D18" i="12"/>
  <c r="D85" i="2"/>
  <c r="E85" i="2" s="1"/>
  <c r="D31" i="10"/>
  <c r="E31" i="10" s="1"/>
  <c r="F31" i="10" s="1"/>
  <c r="G31" i="10" s="1"/>
  <c r="H31" i="10" s="1"/>
  <c r="D30" i="10"/>
  <c r="E30" i="10" s="1"/>
  <c r="D29" i="10"/>
  <c r="E29" i="10" s="1"/>
  <c r="F29" i="10" s="1"/>
  <c r="J22" i="10"/>
  <c r="K22" i="10"/>
  <c r="L22" i="10"/>
  <c r="M22" i="10"/>
  <c r="N22" i="10"/>
  <c r="I22" i="10"/>
  <c r="I13" i="10"/>
  <c r="J13" i="10"/>
  <c r="K13" i="10"/>
  <c r="L13" i="10"/>
  <c r="M13" i="10"/>
  <c r="N13" i="10"/>
  <c r="E20" i="12" l="1"/>
  <c r="E22" i="12"/>
  <c r="E19" i="12"/>
  <c r="E21" i="12"/>
  <c r="E25" i="12" s="1"/>
  <c r="F25" i="12" s="1"/>
  <c r="E23" i="12"/>
  <c r="F85" i="2"/>
  <c r="I31" i="10"/>
  <c r="J31" i="10" s="1"/>
  <c r="F30" i="10"/>
  <c r="G30" i="10" s="1"/>
  <c r="H30" i="10" s="1"/>
  <c r="E32" i="10"/>
  <c r="G29" i="10"/>
  <c r="D32" i="10"/>
  <c r="K31" i="10" l="1"/>
  <c r="J58" i="10"/>
  <c r="G85" i="2"/>
  <c r="F32" i="10"/>
  <c r="H29" i="10"/>
  <c r="G32" i="10"/>
  <c r="P16" i="11"/>
  <c r="P12" i="11"/>
  <c r="P11" i="11"/>
  <c r="L31" i="10" l="1"/>
  <c r="K58" i="10"/>
  <c r="H85" i="2"/>
  <c r="H32" i="10"/>
  <c r="M31" i="10" l="1"/>
  <c r="F8" i="2"/>
  <c r="G50" i="4"/>
  <c r="G46" i="4"/>
  <c r="G45" i="4"/>
  <c r="F50" i="4"/>
  <c r="F46" i="4"/>
  <c r="G21" i="4" s="1"/>
  <c r="F45" i="4"/>
  <c r="N31" i="10" l="1"/>
  <c r="N58" i="10" s="1"/>
  <c r="M58" i="10"/>
  <c r="L58" i="10"/>
  <c r="B8" i="4"/>
  <c r="D6" i="12"/>
  <c r="C6" i="12"/>
  <c r="E5" i="12"/>
  <c r="E6" i="12" s="1"/>
  <c r="E11" i="12" s="1"/>
  <c r="E8" i="12" l="1"/>
  <c r="E7" i="12"/>
  <c r="E9" i="12"/>
  <c r="E10" i="12"/>
  <c r="E13" i="12" l="1"/>
  <c r="F13" i="12" l="1"/>
  <c r="C13" i="11"/>
  <c r="D13" i="11" s="1"/>
  <c r="E15" i="11"/>
  <c r="F15" i="11" s="1"/>
  <c r="G15" i="11" s="1"/>
  <c r="H15" i="11" s="1"/>
  <c r="J15" i="11" s="1"/>
  <c r="C21" i="6"/>
  <c r="I16" i="11"/>
  <c r="Q16" i="11" s="1"/>
  <c r="D86" i="2" s="1"/>
  <c r="I14" i="11"/>
  <c r="Q14" i="11" s="1"/>
  <c r="I12" i="11"/>
  <c r="E75" i="2" s="1"/>
  <c r="I11" i="11"/>
  <c r="Q11" i="11" s="1"/>
  <c r="D66" i="2" s="1"/>
  <c r="E66" i="2" s="1"/>
  <c r="F66" i="2" s="1"/>
  <c r="G66" i="2" s="1"/>
  <c r="H66" i="2" s="1"/>
  <c r="I10" i="11"/>
  <c r="Q10" i="11" s="1"/>
  <c r="D65" i="2" s="1"/>
  <c r="E65" i="2" s="1"/>
  <c r="F65" i="2" s="1"/>
  <c r="G65" i="2" s="1"/>
  <c r="H65" i="2" s="1"/>
  <c r="I9" i="11"/>
  <c r="Q9" i="11" s="1"/>
  <c r="D64" i="2" s="1"/>
  <c r="C8" i="11"/>
  <c r="I8" i="11" s="1"/>
  <c r="Q8" i="11" s="1"/>
  <c r="C7" i="11"/>
  <c r="I7" i="11" s="1"/>
  <c r="Q7" i="11" s="1"/>
  <c r="C6" i="11"/>
  <c r="E16" i="6" l="1"/>
  <c r="B52" i="4"/>
  <c r="F28" i="6"/>
  <c r="E32" i="6"/>
  <c r="E30" i="6"/>
  <c r="E31" i="6"/>
  <c r="E33" i="6"/>
  <c r="E64" i="2"/>
  <c r="D68" i="2"/>
  <c r="K15" i="11"/>
  <c r="L15" i="11" s="1"/>
  <c r="M15" i="11" s="1"/>
  <c r="N15" i="11" s="1"/>
  <c r="O15" i="11" s="1"/>
  <c r="P15" i="11"/>
  <c r="E13" i="11"/>
  <c r="D17" i="11"/>
  <c r="D76" i="2"/>
  <c r="C9" i="5" s="1"/>
  <c r="B41" i="4" s="1"/>
  <c r="B9" i="15" s="1"/>
  <c r="F76" i="2"/>
  <c r="F9" i="5" s="1"/>
  <c r="H76" i="2"/>
  <c r="E76" i="2"/>
  <c r="G76" i="2"/>
  <c r="C17" i="11"/>
  <c r="F75" i="2"/>
  <c r="E78" i="2"/>
  <c r="E86" i="2"/>
  <c r="F86" i="2" s="1"/>
  <c r="G86" i="2" s="1"/>
  <c r="H86" i="2" s="1"/>
  <c r="E9" i="5"/>
  <c r="Q12" i="11"/>
  <c r="D75" i="2" s="1"/>
  <c r="B20" i="4"/>
  <c r="B40" i="4"/>
  <c r="I6" i="11"/>
  <c r="Q6" i="11" s="1"/>
  <c r="D29" i="6" l="1"/>
  <c r="D28" i="6"/>
  <c r="G75" i="2"/>
  <c r="F78" i="2"/>
  <c r="D78" i="2"/>
  <c r="F13" i="11"/>
  <c r="E17" i="11"/>
  <c r="E68" i="2"/>
  <c r="E6" i="5" s="1"/>
  <c r="F64" i="2"/>
  <c r="F68" i="2" s="1"/>
  <c r="D6" i="5"/>
  <c r="D41" i="4"/>
  <c r="G9" i="5"/>
  <c r="H9" i="5"/>
  <c r="E41" i="4" l="1"/>
  <c r="D9" i="15" s="1"/>
  <c r="C9" i="15"/>
  <c r="B19" i="4"/>
  <c r="H75" i="2"/>
  <c r="H78" i="2" s="1"/>
  <c r="G78" i="2"/>
  <c r="G64" i="2"/>
  <c r="G13" i="11"/>
  <c r="F17" i="11"/>
  <c r="D13" i="4"/>
  <c r="B13" i="4"/>
  <c r="F41" i="4"/>
  <c r="F6" i="5"/>
  <c r="I15" i="11"/>
  <c r="Q15" i="11" s="1"/>
  <c r="D87" i="2" s="1"/>
  <c r="D89" i="2" s="1"/>
  <c r="G41" i="4" l="1"/>
  <c r="F9" i="15" s="1"/>
  <c r="E9" i="15"/>
  <c r="G68" i="2"/>
  <c r="G6" i="5" s="1"/>
  <c r="H64" i="2"/>
  <c r="H68" i="2" s="1"/>
  <c r="H13" i="11"/>
  <c r="G17" i="11"/>
  <c r="E13" i="4"/>
  <c r="H6" i="5"/>
  <c r="H8" i="5"/>
  <c r="G8" i="5"/>
  <c r="B18" i="4"/>
  <c r="E23" i="2"/>
  <c r="E19" i="2"/>
  <c r="E15" i="2"/>
  <c r="E11" i="2"/>
  <c r="E7" i="2"/>
  <c r="D70" i="10"/>
  <c r="E70" i="10" s="1"/>
  <c r="F70" i="10" s="1"/>
  <c r="G70" i="10" s="1"/>
  <c r="H70" i="10" s="1"/>
  <c r="P68" i="10"/>
  <c r="R68" i="10" s="1"/>
  <c r="S68" i="10" s="1"/>
  <c r="D64" i="10"/>
  <c r="E64" i="10" s="1"/>
  <c r="F64" i="10" s="1"/>
  <c r="G64" i="10" s="1"/>
  <c r="H64" i="10" s="1"/>
  <c r="P62" i="10"/>
  <c r="R62" i="10" s="1"/>
  <c r="S62" i="10" s="1"/>
  <c r="D57" i="10"/>
  <c r="H23" i="10"/>
  <c r="G23" i="10"/>
  <c r="F23" i="10"/>
  <c r="E23" i="10"/>
  <c r="D23" i="10"/>
  <c r="D38" i="10" s="1"/>
  <c r="H14" i="10"/>
  <c r="G14" i="10"/>
  <c r="F14" i="10"/>
  <c r="E14" i="10"/>
  <c r="D14" i="10"/>
  <c r="D40" i="10" s="1"/>
  <c r="A12" i="10"/>
  <c r="A11" i="10"/>
  <c r="O8" i="10"/>
  <c r="E57" i="10" l="1"/>
  <c r="D58" i="10"/>
  <c r="J13" i="11"/>
  <c r="H17" i="11"/>
  <c r="I17" i="11" s="1"/>
  <c r="I13" i="11"/>
  <c r="F13" i="4"/>
  <c r="D39" i="10"/>
  <c r="D48" i="10"/>
  <c r="J11" i="10"/>
  <c r="L11" i="10"/>
  <c r="N11" i="10"/>
  <c r="I11" i="10"/>
  <c r="I29" i="10" s="1"/>
  <c r="K11" i="10"/>
  <c r="M11" i="10"/>
  <c r="O11" i="10"/>
  <c r="O22" i="10"/>
  <c r="P22" i="10" s="1"/>
  <c r="O13" i="10"/>
  <c r="I12" i="10"/>
  <c r="I30" i="10" s="1"/>
  <c r="K12" i="10"/>
  <c r="M12" i="10"/>
  <c r="O12" i="10"/>
  <c r="J12" i="10"/>
  <c r="L12" i="10"/>
  <c r="N12" i="10"/>
  <c r="A14" i="10"/>
  <c r="G13" i="4"/>
  <c r="F14" i="4"/>
  <c r="G10" i="5"/>
  <c r="G14" i="4"/>
  <c r="H10" i="5"/>
  <c r="E40" i="10"/>
  <c r="A21" i="10"/>
  <c r="E39" i="10"/>
  <c r="A20" i="10"/>
  <c r="Q68" i="10"/>
  <c r="Q62" i="10"/>
  <c r="F57" i="10" l="1"/>
  <c r="E58" i="10"/>
  <c r="K13" i="11"/>
  <c r="J17" i="11"/>
  <c r="F40" i="10"/>
  <c r="E48" i="10"/>
  <c r="J29" i="10"/>
  <c r="K29" i="10" s="1"/>
  <c r="L29" i="10" s="1"/>
  <c r="J30" i="10"/>
  <c r="K30" i="10" s="1"/>
  <c r="L30" i="10" s="1"/>
  <c r="M30" i="10" s="1"/>
  <c r="N30" i="10" s="1"/>
  <c r="O30" i="10" s="1"/>
  <c r="M29" i="10"/>
  <c r="N29" i="10" s="1"/>
  <c r="O29" i="10" s="1"/>
  <c r="L14" i="10"/>
  <c r="L63" i="10" s="1"/>
  <c r="P13" i="10"/>
  <c r="O31" i="10"/>
  <c r="N14" i="10"/>
  <c r="J14" i="10"/>
  <c r="K20" i="10"/>
  <c r="M20" i="10"/>
  <c r="O20" i="10"/>
  <c r="J20" i="10"/>
  <c r="L20" i="10"/>
  <c r="N20" i="10"/>
  <c r="I20" i="10"/>
  <c r="K21" i="10"/>
  <c r="M21" i="10"/>
  <c r="O21" i="10"/>
  <c r="J21" i="10"/>
  <c r="L21" i="10"/>
  <c r="N21" i="10"/>
  <c r="I21" i="10"/>
  <c r="M14" i="10"/>
  <c r="M63" i="10" s="1"/>
  <c r="D49" i="10"/>
  <c r="K14" i="10"/>
  <c r="P12" i="10"/>
  <c r="A23" i="10"/>
  <c r="I14" i="10"/>
  <c r="P11" i="10"/>
  <c r="O14" i="10"/>
  <c r="F39" i="10"/>
  <c r="E38" i="10"/>
  <c r="F58" i="10" l="1"/>
  <c r="G57" i="10"/>
  <c r="Q13" i="10"/>
  <c r="H41" i="2"/>
  <c r="H42" i="2" s="1"/>
  <c r="H43" i="2" s="1"/>
  <c r="G37" i="2"/>
  <c r="G38" i="2" s="1"/>
  <c r="G39" i="2" s="1"/>
  <c r="F33" i="2"/>
  <c r="F34" i="2" s="1"/>
  <c r="F35" i="2" s="1"/>
  <c r="F45" i="2" s="1"/>
  <c r="F22" i="5" s="1"/>
  <c r="O58" i="10"/>
  <c r="P57" i="10"/>
  <c r="L13" i="11"/>
  <c r="K17" i="11"/>
  <c r="G40" i="10"/>
  <c r="F48" i="10"/>
  <c r="R13" i="10"/>
  <c r="O23" i="10"/>
  <c r="O69" i="10" s="1"/>
  <c r="K23" i="10"/>
  <c r="K69" i="10" s="1"/>
  <c r="O63" i="10"/>
  <c r="K63" i="10"/>
  <c r="N63" i="10"/>
  <c r="N23" i="10"/>
  <c r="N69" i="10" s="1"/>
  <c r="J23" i="10"/>
  <c r="M23" i="10"/>
  <c r="M69" i="10" s="1"/>
  <c r="J63" i="10"/>
  <c r="I63" i="10"/>
  <c r="I64" i="10" s="1"/>
  <c r="J32" i="10"/>
  <c r="N32" i="10"/>
  <c r="M32" i="10"/>
  <c r="L32" i="10"/>
  <c r="K32" i="10"/>
  <c r="P21" i="10"/>
  <c r="L23" i="10"/>
  <c r="E49" i="10"/>
  <c r="P20" i="10"/>
  <c r="I23" i="10"/>
  <c r="G39" i="10"/>
  <c r="F38" i="10"/>
  <c r="P14" i="10"/>
  <c r="Q14" i="10" s="1"/>
  <c r="R14" i="10" s="1"/>
  <c r="S14" i="10" s="1"/>
  <c r="G58" i="10" l="1"/>
  <c r="H57" i="10"/>
  <c r="H58" i="10" s="1"/>
  <c r="P58" i="10" s="1"/>
  <c r="S11" i="10"/>
  <c r="T14" i="10"/>
  <c r="T11" i="10" s="1"/>
  <c r="R22" i="10"/>
  <c r="H33" i="2"/>
  <c r="H34" i="2" s="1"/>
  <c r="H35" i="2" s="1"/>
  <c r="Q22" i="10"/>
  <c r="H37" i="2"/>
  <c r="H38" i="2" s="1"/>
  <c r="H39" i="2" s="1"/>
  <c r="G33" i="2"/>
  <c r="G34" i="2" s="1"/>
  <c r="G35" i="2" s="1"/>
  <c r="G45" i="2" s="1"/>
  <c r="G22" i="5" s="1"/>
  <c r="S13" i="10"/>
  <c r="S22" i="10" s="1"/>
  <c r="P31" i="10"/>
  <c r="M13" i="11"/>
  <c r="L17" i="11"/>
  <c r="G48" i="10"/>
  <c r="H40" i="10"/>
  <c r="J64" i="10"/>
  <c r="K64" i="10" s="1"/>
  <c r="L64" i="10" s="1"/>
  <c r="M64" i="10" s="1"/>
  <c r="N64" i="10" s="1"/>
  <c r="O64" i="10" s="1"/>
  <c r="I69" i="10"/>
  <c r="I70" i="10" s="1"/>
  <c r="L69" i="10"/>
  <c r="J69" i="10"/>
  <c r="I32" i="10"/>
  <c r="O32" i="10"/>
  <c r="H39" i="10"/>
  <c r="G38" i="10"/>
  <c r="P23" i="10"/>
  <c r="P63" i="10"/>
  <c r="T13" i="10"/>
  <c r="T22" i="10" s="1"/>
  <c r="F49" i="10"/>
  <c r="Q31" i="10" l="1"/>
  <c r="Q57" i="10"/>
  <c r="H45" i="2"/>
  <c r="H22" i="5" s="1"/>
  <c r="N13" i="11"/>
  <c r="M17" i="11"/>
  <c r="H48" i="10"/>
  <c r="I40" i="10"/>
  <c r="J70" i="10"/>
  <c r="K70" i="10" s="1"/>
  <c r="L70" i="10" s="1"/>
  <c r="M70" i="10" s="1"/>
  <c r="N70" i="10" s="1"/>
  <c r="O70" i="10" s="1"/>
  <c r="I39" i="10"/>
  <c r="U22" i="10"/>
  <c r="Q63" i="10"/>
  <c r="P64" i="10"/>
  <c r="G49" i="10"/>
  <c r="P69" i="10"/>
  <c r="Q23" i="10"/>
  <c r="H38" i="10"/>
  <c r="U13" i="10"/>
  <c r="P70" i="10" l="1"/>
  <c r="R57" i="10"/>
  <c r="R31" i="10"/>
  <c r="D12" i="2"/>
  <c r="Q58" i="10"/>
  <c r="O13" i="11"/>
  <c r="N17" i="11"/>
  <c r="Q13" i="11"/>
  <c r="I48" i="10"/>
  <c r="I49" i="10" s="1"/>
  <c r="J40" i="10"/>
  <c r="J39" i="10"/>
  <c r="I38" i="10"/>
  <c r="K39" i="10"/>
  <c r="Q64" i="10"/>
  <c r="R23" i="10"/>
  <c r="Q20" i="10"/>
  <c r="Q21" i="10" s="1"/>
  <c r="Q69" i="10"/>
  <c r="Q70" i="10" s="1"/>
  <c r="R63" i="10"/>
  <c r="H49" i="10"/>
  <c r="R58" i="10" l="1"/>
  <c r="D16" i="2"/>
  <c r="S57" i="10"/>
  <c r="S31" i="10"/>
  <c r="T57" i="10" s="1"/>
  <c r="D24" i="2" s="1"/>
  <c r="F24" i="2" s="1"/>
  <c r="D55" i="2"/>
  <c r="O17" i="11"/>
  <c r="Q17" i="11" s="1"/>
  <c r="P13" i="11"/>
  <c r="P17" i="11" s="1"/>
  <c r="T58" i="10"/>
  <c r="J48" i="10"/>
  <c r="J49" i="10" s="1"/>
  <c r="K40" i="10"/>
  <c r="K38" i="10" s="1"/>
  <c r="J38" i="10"/>
  <c r="L39" i="10"/>
  <c r="S63" i="10"/>
  <c r="R20" i="10"/>
  <c r="R21" i="10" s="1"/>
  <c r="S23" i="10"/>
  <c r="R64" i="10"/>
  <c r="R69" i="10"/>
  <c r="R70" i="10" s="1"/>
  <c r="S58" i="10" l="1"/>
  <c r="D20" i="2"/>
  <c r="F20" i="2" s="1"/>
  <c r="D57" i="2"/>
  <c r="E55" i="2"/>
  <c r="E87" i="2"/>
  <c r="K48" i="10"/>
  <c r="K49" i="10" s="1"/>
  <c r="L40" i="10"/>
  <c r="M39" i="10"/>
  <c r="S12" i="10"/>
  <c r="S64" i="10"/>
  <c r="S69" i="10"/>
  <c r="S70" i="10" s="1"/>
  <c r="S20" i="10"/>
  <c r="T23" i="10"/>
  <c r="F55" i="2" l="1"/>
  <c r="E57" i="2"/>
  <c r="F87" i="2"/>
  <c r="E89" i="2"/>
  <c r="D18" i="4"/>
  <c r="L48" i="10"/>
  <c r="L49" i="10" s="1"/>
  <c r="M40" i="10"/>
  <c r="L38" i="10"/>
  <c r="N39" i="10"/>
  <c r="T12" i="10"/>
  <c r="S21" i="10"/>
  <c r="T20" i="10"/>
  <c r="T21" i="10" s="1"/>
  <c r="U23" i="10"/>
  <c r="G87" i="2" l="1"/>
  <c r="F89" i="2"/>
  <c r="E18" i="4"/>
  <c r="F57" i="2"/>
  <c r="G55" i="2"/>
  <c r="M48" i="10"/>
  <c r="N40" i="10"/>
  <c r="N38" i="10" s="1"/>
  <c r="M38" i="10"/>
  <c r="O39" i="10"/>
  <c r="U21" i="10"/>
  <c r="U20" i="10"/>
  <c r="H55" i="2" l="1"/>
  <c r="H57" i="2" s="1"/>
  <c r="G57" i="2"/>
  <c r="H87" i="2"/>
  <c r="G89" i="2"/>
  <c r="G28" i="5"/>
  <c r="F18" i="4"/>
  <c r="N48" i="10"/>
  <c r="N49" i="10" s="1"/>
  <c r="O40" i="10"/>
  <c r="M49" i="10"/>
  <c r="P39" i="10"/>
  <c r="H89" i="2" l="1"/>
  <c r="G18" i="4"/>
  <c r="H28" i="5"/>
  <c r="O48" i="10"/>
  <c r="O38" i="10"/>
  <c r="Q39" i="10"/>
  <c r="O49" i="10" l="1"/>
  <c r="P48" i="10"/>
  <c r="R39" i="10"/>
  <c r="P49" i="10" l="1"/>
  <c r="D7" i="2"/>
  <c r="F7" i="2" s="1"/>
  <c r="S39" i="10"/>
  <c r="E45" i="4" l="1"/>
  <c r="B45" i="4" l="1"/>
  <c r="D52" i="4" l="1"/>
  <c r="C8" i="5"/>
  <c r="D10" i="5" l="1"/>
  <c r="B14" i="4"/>
  <c r="D45" i="4"/>
  <c r="D40" i="4"/>
  <c r="E40" i="4" s="1"/>
  <c r="F40" i="4" s="1"/>
  <c r="F42" i="4" l="1"/>
  <c r="G40" i="4"/>
  <c r="G42" i="4" s="1"/>
  <c r="B16" i="4"/>
  <c r="C27" i="5"/>
  <c r="E29" i="7" l="1"/>
  <c r="F29" i="7" s="1"/>
  <c r="G29" i="7" s="1"/>
  <c r="H29" i="7" s="1"/>
  <c r="I29" i="7" s="1"/>
  <c r="J29" i="7" s="1"/>
  <c r="K29" i="7" s="1"/>
  <c r="L29" i="7" s="1"/>
  <c r="E28" i="7"/>
  <c r="E27" i="7"/>
  <c r="F27" i="7" s="1"/>
  <c r="G27" i="7" s="1"/>
  <c r="H27" i="7" s="1"/>
  <c r="I27" i="7" s="1"/>
  <c r="C22" i="7"/>
  <c r="E20" i="7" s="1"/>
  <c r="F20" i="7" s="1"/>
  <c r="E30" i="7" l="1"/>
  <c r="E21" i="7"/>
  <c r="F21" i="7" s="1"/>
  <c r="F28" i="7"/>
  <c r="G28" i="7" s="1"/>
  <c r="H28" i="7" s="1"/>
  <c r="E19" i="7"/>
  <c r="F19" i="7" s="1"/>
  <c r="F22" i="7" s="1"/>
  <c r="E50" i="4"/>
  <c r="F30" i="7" l="1"/>
  <c r="I28" i="7"/>
  <c r="H30" i="7"/>
  <c r="G30" i="7"/>
  <c r="E52" i="4"/>
  <c r="F52" i="4" s="1"/>
  <c r="G52" i="4" s="1"/>
  <c r="C42" i="4"/>
  <c r="J28" i="7" l="1"/>
  <c r="I30" i="7"/>
  <c r="E28" i="5" l="1"/>
  <c r="C28" i="5"/>
  <c r="K28" i="7"/>
  <c r="J30" i="7"/>
  <c r="F29" i="6"/>
  <c r="D30" i="6" s="1"/>
  <c r="C30" i="6" s="1"/>
  <c r="F15" i="6"/>
  <c r="E27" i="5" l="1"/>
  <c r="D16" i="4"/>
  <c r="F28" i="5"/>
  <c r="D32" i="5"/>
  <c r="D17" i="4"/>
  <c r="E29" i="5"/>
  <c r="C29" i="5"/>
  <c r="C30" i="5" s="1"/>
  <c r="B17" i="4"/>
  <c r="E8" i="5"/>
  <c r="L28" i="7"/>
  <c r="K30" i="7"/>
  <c r="F30" i="6"/>
  <c r="F12" i="2"/>
  <c r="E30" i="5" l="1"/>
  <c r="D31" i="6"/>
  <c r="C31" i="6" s="1"/>
  <c r="B46" i="4" s="1"/>
  <c r="D21" i="4" s="1"/>
  <c r="F16" i="4"/>
  <c r="G27" i="5"/>
  <c r="F17" i="4"/>
  <c r="G29" i="5"/>
  <c r="E10" i="5"/>
  <c r="D14" i="4"/>
  <c r="F16" i="2"/>
  <c r="F9" i="2"/>
  <c r="C21" i="5" s="1"/>
  <c r="E16" i="4"/>
  <c r="F27" i="5"/>
  <c r="F29" i="5"/>
  <c r="E17" i="4"/>
  <c r="E42" i="4"/>
  <c r="D42" i="4"/>
  <c r="F8" i="5"/>
  <c r="M28" i="7"/>
  <c r="L30" i="7"/>
  <c r="F30" i="5" l="1"/>
  <c r="G30" i="5"/>
  <c r="D23" i="5"/>
  <c r="B7" i="4" s="1"/>
  <c r="F31" i="6"/>
  <c r="D32" i="6" s="1"/>
  <c r="C32" i="6" s="1"/>
  <c r="H29" i="5"/>
  <c r="G17" i="4"/>
  <c r="G16" i="4"/>
  <c r="H27" i="5"/>
  <c r="H30" i="5" s="1"/>
  <c r="F10" i="5"/>
  <c r="E14" i="4"/>
  <c r="D19" i="4"/>
  <c r="E32" i="5" s="1"/>
  <c r="N28" i="7"/>
  <c r="N30" i="7" s="1"/>
  <c r="D33" i="7" s="1"/>
  <c r="M30" i="7"/>
  <c r="D7" i="5"/>
  <c r="B49" i="4" l="1"/>
  <c r="C50" i="4" s="1"/>
  <c r="F32" i="6"/>
  <c r="B15" i="4"/>
  <c r="D11" i="5"/>
  <c r="G19" i="4"/>
  <c r="E7" i="5"/>
  <c r="D33" i="6" l="1"/>
  <c r="D15" i="4"/>
  <c r="E11" i="5"/>
  <c r="F19" i="4"/>
  <c r="G32" i="5" s="1"/>
  <c r="C33" i="6" l="1"/>
  <c r="E19" i="4"/>
  <c r="F32" i="5" s="1"/>
  <c r="F7" i="5"/>
  <c r="C23" i="4"/>
  <c r="D46" i="4" l="1"/>
  <c r="E21" i="4" s="1"/>
  <c r="F33" i="6"/>
  <c r="E15" i="4"/>
  <c r="F11" i="5"/>
  <c r="H7" i="5"/>
  <c r="H11" i="5" s="1"/>
  <c r="G7" i="5"/>
  <c r="G11" i="5" s="1"/>
  <c r="D49" i="4" l="1"/>
  <c r="D50" i="4" s="1"/>
  <c r="E46" i="4"/>
  <c r="F21" i="4" s="1"/>
  <c r="G15" i="4"/>
  <c r="H24" i="5"/>
  <c r="F15" i="4"/>
  <c r="G24" i="5"/>
  <c r="C24" i="5"/>
  <c r="D25" i="5" s="1"/>
  <c r="D31" i="5" s="1"/>
  <c r="D33" i="5" l="1"/>
  <c r="D22" i="4" l="1"/>
  <c r="B47" i="4"/>
  <c r="E24" i="5"/>
  <c r="C10" i="4"/>
  <c r="C25" i="4" s="1"/>
  <c r="C27" i="4" s="1"/>
  <c r="D26" i="4" l="1"/>
  <c r="B37" i="4"/>
  <c r="F24" i="5"/>
  <c r="D23" i="4" l="1"/>
  <c r="C48" i="4"/>
  <c r="D35" i="5"/>
  <c r="C39" i="4"/>
  <c r="C43" i="4" s="1"/>
  <c r="B55" i="4" l="1"/>
  <c r="D54" i="4" s="1"/>
  <c r="B21" i="16"/>
  <c r="B13" i="16"/>
  <c r="B11" i="16"/>
  <c r="B10" i="16"/>
  <c r="B8" i="15"/>
  <c r="C51" i="4"/>
  <c r="B22" i="16" s="1"/>
  <c r="B17" i="16"/>
  <c r="B16" i="16"/>
  <c r="B10" i="15"/>
  <c r="C56" i="4" l="1"/>
  <c r="C57" i="4" s="1"/>
  <c r="C60" i="4" s="1"/>
  <c r="B11" i="15"/>
  <c r="B19" i="15" s="1"/>
  <c r="B23" i="15" s="1"/>
  <c r="B15" i="15"/>
  <c r="B12" i="16"/>
  <c r="B17" i="15"/>
  <c r="B20" i="16"/>
  <c r="Q11" i="10"/>
  <c r="P40" i="10"/>
  <c r="P38" i="10" s="1"/>
  <c r="B22" i="15" l="1"/>
  <c r="Q48" i="10"/>
  <c r="Q49" i="10" s="1"/>
  <c r="D11" i="2"/>
  <c r="F11" i="2" s="1"/>
  <c r="F13" i="2" s="1"/>
  <c r="E21" i="5" s="1"/>
  <c r="E23" i="5" s="1"/>
  <c r="P29" i="10"/>
  <c r="Q12" i="10"/>
  <c r="P30" i="10" l="1"/>
  <c r="P32" i="10" s="1"/>
  <c r="D7" i="4"/>
  <c r="D10" i="4" s="1"/>
  <c r="D25" i="4" s="1"/>
  <c r="D27" i="4" s="1"/>
  <c r="E25" i="5"/>
  <c r="E31" i="5" s="1"/>
  <c r="E33" i="5" s="1"/>
  <c r="E34" i="5" l="1"/>
  <c r="D47" i="4" s="1"/>
  <c r="E26" i="4"/>
  <c r="D37" i="4"/>
  <c r="D39" i="4" s="1"/>
  <c r="U14" i="10"/>
  <c r="R11" i="10"/>
  <c r="U11" i="10" s="1"/>
  <c r="Q40" i="10"/>
  <c r="E35" i="5" l="1"/>
  <c r="D43" i="4"/>
  <c r="D48" i="4"/>
  <c r="E22" i="4"/>
  <c r="E23" i="4" s="1"/>
  <c r="R40" i="10"/>
  <c r="R48" i="10"/>
  <c r="Q38" i="10"/>
  <c r="Q29" i="10"/>
  <c r="R12" i="10"/>
  <c r="C17" i="16" l="1"/>
  <c r="D55" i="4"/>
  <c r="C21" i="16"/>
  <c r="C11" i="16"/>
  <c r="C10" i="16"/>
  <c r="C16" i="16"/>
  <c r="C8" i="15"/>
  <c r="C15" i="15"/>
  <c r="C22" i="15" s="1"/>
  <c r="C13" i="16"/>
  <c r="D51" i="4"/>
  <c r="C22" i="16" s="1"/>
  <c r="C10" i="15"/>
  <c r="U12" i="10"/>
  <c r="Q30" i="10"/>
  <c r="R30" i="10" s="1"/>
  <c r="S30" i="10" s="1"/>
  <c r="R38" i="10"/>
  <c r="S40" i="10"/>
  <c r="S48" i="10"/>
  <c r="Q32" i="10"/>
  <c r="R29" i="10"/>
  <c r="R49" i="10"/>
  <c r="D15" i="2"/>
  <c r="F15" i="2" s="1"/>
  <c r="F17" i="2" s="1"/>
  <c r="F21" i="5" s="1"/>
  <c r="F23" i="5" s="1"/>
  <c r="E54" i="4" l="1"/>
  <c r="D56" i="4"/>
  <c r="C12" i="16" s="1"/>
  <c r="C11" i="15"/>
  <c r="C17" i="15" s="1"/>
  <c r="C19" i="15"/>
  <c r="C23" i="15" s="1"/>
  <c r="T48" i="10"/>
  <c r="S38" i="10"/>
  <c r="F25" i="5"/>
  <c r="F31" i="5" s="1"/>
  <c r="F33" i="5" s="1"/>
  <c r="F34" i="5" s="1"/>
  <c r="E7" i="4"/>
  <c r="E10" i="4" s="1"/>
  <c r="E25" i="4" s="1"/>
  <c r="E27" i="4" s="1"/>
  <c r="S29" i="10"/>
  <c r="S32" i="10" s="1"/>
  <c r="R32" i="10"/>
  <c r="S49" i="10"/>
  <c r="D19" i="2"/>
  <c r="F19" i="2" s="1"/>
  <c r="F21" i="2" s="1"/>
  <c r="G21" i="5" s="1"/>
  <c r="G23" i="5" s="1"/>
  <c r="D57" i="4" l="1"/>
  <c r="E47" i="4"/>
  <c r="T49" i="10"/>
  <c r="D23" i="2"/>
  <c r="F23" i="2" s="1"/>
  <c r="F25" i="2" s="1"/>
  <c r="H21" i="5" s="1"/>
  <c r="H23" i="5" s="1"/>
  <c r="F7" i="4"/>
  <c r="F10" i="4" s="1"/>
  <c r="G25" i="5"/>
  <c r="G31" i="5" s="1"/>
  <c r="G33" i="5" s="1"/>
  <c r="G34" i="5" s="1"/>
  <c r="F26" i="4"/>
  <c r="E37" i="4"/>
  <c r="E39" i="4" s="1"/>
  <c r="D60" i="4" l="1"/>
  <c r="C20" i="16"/>
  <c r="E43" i="4"/>
  <c r="F35" i="5"/>
  <c r="F47" i="4"/>
  <c r="H25" i="5"/>
  <c r="H31" i="5" s="1"/>
  <c r="H33" i="5" s="1"/>
  <c r="G7" i="4"/>
  <c r="G10" i="4" s="1"/>
  <c r="F22" i="4"/>
  <c r="F23" i="4" s="1"/>
  <c r="F25" i="4" s="1"/>
  <c r="F27" i="4" s="1"/>
  <c r="E48" i="4"/>
  <c r="D16" i="16" l="1"/>
  <c r="E55" i="4"/>
  <c r="D21" i="16"/>
  <c r="D11" i="16"/>
  <c r="D10" i="16"/>
  <c r="D17" i="16"/>
  <c r="D8" i="15"/>
  <c r="D13" i="16"/>
  <c r="D15" i="15"/>
  <c r="D22" i="15" s="1"/>
  <c r="E51" i="4"/>
  <c r="D22" i="16" s="1"/>
  <c r="D10" i="15"/>
  <c r="G35" i="5"/>
  <c r="G26" i="4"/>
  <c r="F37" i="4"/>
  <c r="F39" i="4" s="1"/>
  <c r="G47" i="4"/>
  <c r="G48" i="4" s="1"/>
  <c r="G22" i="4"/>
  <c r="G23" i="4" s="1"/>
  <c r="G25" i="4" s="1"/>
  <c r="F48" i="4"/>
  <c r="F55" i="4" l="1"/>
  <c r="E11" i="16"/>
  <c r="E10" i="16"/>
  <c r="F53" i="4"/>
  <c r="E56" i="4"/>
  <c r="F54" i="4"/>
  <c r="G54" i="4" s="1"/>
  <c r="G51" i="4"/>
  <c r="F22" i="16" s="1"/>
  <c r="F10" i="15"/>
  <c r="F43" i="4"/>
  <c r="E16" i="16"/>
  <c r="E17" i="16"/>
  <c r="D11" i="15"/>
  <c r="D17" i="15" s="1"/>
  <c r="F51" i="4"/>
  <c r="E22" i="16" s="1"/>
  <c r="E10" i="15"/>
  <c r="G27" i="4"/>
  <c r="G37" i="4" s="1"/>
  <c r="G39" i="4" s="1"/>
  <c r="H35" i="5"/>
  <c r="G55" i="4" s="1"/>
  <c r="F56" i="4" l="1"/>
  <c r="E12" i="16" s="1"/>
  <c r="F57" i="4"/>
  <c r="E20" i="16" s="1"/>
  <c r="D19" i="15"/>
  <c r="D23" i="15" s="1"/>
  <c r="F60" i="4"/>
  <c r="D12" i="16"/>
  <c r="E57" i="4"/>
  <c r="G53" i="4"/>
  <c r="G56" i="4" s="1"/>
  <c r="G43" i="4"/>
  <c r="F15" i="15" s="1"/>
  <c r="F22" i="15" s="1"/>
  <c r="F17" i="16"/>
  <c r="F16" i="16"/>
  <c r="E8" i="15"/>
  <c r="E11" i="15" s="1"/>
  <c r="E13" i="16"/>
  <c r="E15" i="15"/>
  <c r="E22" i="15" s="1"/>
  <c r="E17" i="15" l="1"/>
  <c r="E19" i="15"/>
  <c r="E23" i="15" s="1"/>
  <c r="G57" i="4"/>
  <c r="F12" i="16"/>
  <c r="E60" i="4"/>
  <c r="D20" i="16"/>
  <c r="B26" i="15"/>
  <c r="F8" i="15"/>
  <c r="F11" i="15" s="1"/>
  <c r="F13" i="16"/>
  <c r="G60" i="4" l="1"/>
  <c r="F20" i="16"/>
  <c r="F19" i="15"/>
  <c r="F23" i="15" s="1"/>
  <c r="B25" i="15" s="1"/>
  <c r="F17" i="15"/>
</calcChain>
</file>

<file path=xl/comments1.xml><?xml version="1.0" encoding="utf-8"?>
<comments xmlns="http://schemas.openxmlformats.org/spreadsheetml/2006/main">
  <authors>
    <author>LinaDiego</author>
  </authors>
  <commentList>
    <comment ref="Q13" authorId="0" shapeId="0">
      <text>
        <r>
          <rPr>
            <b/>
            <sz val="9"/>
            <color indexed="81"/>
            <rFont val="Tahoma"/>
            <family val="2"/>
          </rPr>
          <t>LinaDiego:</t>
        </r>
        <r>
          <rPr>
            <sz val="9"/>
            <color indexed="81"/>
            <rFont val="Tahoma"/>
            <family val="2"/>
          </rPr>
          <t xml:space="preserve">
No tiene la misma formula</t>
        </r>
      </text>
    </comment>
  </commentList>
</comments>
</file>

<file path=xl/comments2.xml><?xml version="1.0" encoding="utf-8"?>
<comments xmlns="http://schemas.openxmlformats.org/spreadsheetml/2006/main">
  <authors>
    <author>Investigaciones FCAEC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Investigaciones FCAEC:</t>
        </r>
        <r>
          <rPr>
            <sz val="9"/>
            <color indexed="81"/>
            <rFont val="Tahoma"/>
            <family val="2"/>
          </rPr>
          <t xml:space="preserve">
No de visitas y de suscripciones.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Investigaciones FCAEC:</t>
        </r>
        <r>
          <rPr>
            <sz val="9"/>
            <color indexed="81"/>
            <rFont val="Tahoma"/>
            <family val="2"/>
          </rPr>
          <t xml:space="preserve">
el pago mensual y el pago calculado por visualización.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Investigaciones FCAEC:</t>
        </r>
        <r>
          <rPr>
            <sz val="9"/>
            <color indexed="81"/>
            <rFont val="Tahoma"/>
            <family val="2"/>
          </rPr>
          <t xml:space="preserve">
No de visitas y de suscripciones.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Investigaciones FCAEC:</t>
        </r>
        <r>
          <rPr>
            <sz val="9"/>
            <color indexed="81"/>
            <rFont val="Tahoma"/>
            <family val="2"/>
          </rPr>
          <t xml:space="preserve">
el pago mensual y el pago calculado por visualización.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Investigaciones FCAEC:</t>
        </r>
        <r>
          <rPr>
            <sz val="9"/>
            <color indexed="81"/>
            <rFont val="Tahoma"/>
            <family val="2"/>
          </rPr>
          <t xml:space="preserve">
No de visitas y de suscripciones.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Investigaciones FCAEC:</t>
        </r>
        <r>
          <rPr>
            <sz val="9"/>
            <color indexed="81"/>
            <rFont val="Tahoma"/>
            <family val="2"/>
          </rPr>
          <t xml:space="preserve">
el pago mensual y el pago calculado por visualización.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Investigaciones FCAEC:</t>
        </r>
        <r>
          <rPr>
            <sz val="9"/>
            <color indexed="81"/>
            <rFont val="Tahoma"/>
            <family val="2"/>
          </rPr>
          <t xml:space="preserve">
No de visitas y de suscripciones.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Investigaciones FCAEC:</t>
        </r>
        <r>
          <rPr>
            <sz val="9"/>
            <color indexed="81"/>
            <rFont val="Tahoma"/>
            <family val="2"/>
          </rPr>
          <t xml:space="preserve">
el pago mensual y el pago calculado por visualización.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Investigaciones FCAEC:</t>
        </r>
        <r>
          <rPr>
            <sz val="9"/>
            <color indexed="81"/>
            <rFont val="Tahoma"/>
            <family val="2"/>
          </rPr>
          <t xml:space="preserve">
No de visitas y de suscripciones.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Investigaciones FCAEC:</t>
        </r>
        <r>
          <rPr>
            <sz val="9"/>
            <color indexed="81"/>
            <rFont val="Tahoma"/>
            <family val="2"/>
          </rPr>
          <t xml:space="preserve">
el pago mensual y el pago calculado por visualización.</t>
        </r>
      </text>
    </comment>
  </commentList>
</comments>
</file>

<file path=xl/comments3.xml><?xml version="1.0" encoding="utf-8"?>
<comments xmlns="http://schemas.openxmlformats.org/spreadsheetml/2006/main">
  <authors>
    <author>Usuario de Windows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Esta cifra se saco, con la función sacando objetivo, para que al final me de un flujo de caja de positivo de 5 millones que menciona el punto 9.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se calculo intereses de lo que debia y del nuevo prestamo(buscar objetivo), que según las condiciones son del 20% anual
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lo que me quedaron a deber el 30 de diciembre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lo que me quedaron a deber el 30 de diciembre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lo que me quedaron a deber el 30 de diciembre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lo que me quedaron a deber el 30 de diciembre</t>
        </r>
      </text>
    </comment>
  </commentList>
</comments>
</file>

<file path=xl/sharedStrings.xml><?xml version="1.0" encoding="utf-8"?>
<sst xmlns="http://schemas.openxmlformats.org/spreadsheetml/2006/main" count="532" uniqueCount="301">
  <si>
    <t>ACTIVO CORRIENTE</t>
  </si>
  <si>
    <t>ACTIVO FIJO</t>
  </si>
  <si>
    <t>TOTAL ACTIVO</t>
  </si>
  <si>
    <t>Impuesto de renta por pagar</t>
  </si>
  <si>
    <t>PASIVO CORRIENTE</t>
  </si>
  <si>
    <t>TOTAL PASIVO</t>
  </si>
  <si>
    <t>Capital social</t>
  </si>
  <si>
    <t>Reserva legal</t>
  </si>
  <si>
    <t>Utilidades retenidas</t>
  </si>
  <si>
    <t>Utilidad del ejercicio</t>
  </si>
  <si>
    <t>TOTAL PATRIMONIO</t>
  </si>
  <si>
    <t>TOTAL PASIVO Y PATRIMONIO</t>
  </si>
  <si>
    <t>UTILIDAD BRUTA</t>
  </si>
  <si>
    <t>GASTOS DE ADMON. Y VENTAS</t>
  </si>
  <si>
    <t>Gastos financieros</t>
  </si>
  <si>
    <t>UTILIDAD ANTES DE IMPUESTOS</t>
  </si>
  <si>
    <t>Provisión de impuesto de renta</t>
  </si>
  <si>
    <t>UTILIDAD NETA</t>
  </si>
  <si>
    <t>PRESUPUESTO DE VENTAS</t>
  </si>
  <si>
    <t>(UNIDADES Y VALOR)</t>
  </si>
  <si>
    <t>AÑO</t>
  </si>
  <si>
    <t>PRODUCTO</t>
  </si>
  <si>
    <t>Unidades</t>
  </si>
  <si>
    <t>Precio $/U</t>
  </si>
  <si>
    <t>Valor  Total</t>
  </si>
  <si>
    <t xml:space="preserve"> </t>
  </si>
  <si>
    <t>Año 1</t>
  </si>
  <si>
    <t>Año 3</t>
  </si>
  <si>
    <t>Año 2</t>
  </si>
  <si>
    <t>PRESUPUESTO DE COMPRAS</t>
  </si>
  <si>
    <t>COMPRAS TOTALES</t>
  </si>
  <si>
    <t>TOTALES</t>
  </si>
  <si>
    <t>Año3</t>
  </si>
  <si>
    <t>Total</t>
  </si>
  <si>
    <t>Depreciación</t>
  </si>
  <si>
    <t>TOTAL</t>
  </si>
  <si>
    <t>PLAN DE INVERSIÓN FIJA Y SU FINANCIACIÓN</t>
  </si>
  <si>
    <t>INVERSIÓN</t>
  </si>
  <si>
    <t>FINANCIACIÓN</t>
  </si>
  <si>
    <t>Recursos</t>
  </si>
  <si>
    <t xml:space="preserve">Crédito </t>
  </si>
  <si>
    <t>mediano plazo</t>
  </si>
  <si>
    <t>Aportes</t>
  </si>
  <si>
    <t>de capital</t>
  </si>
  <si>
    <t>CONDICIONES</t>
  </si>
  <si>
    <t>Cuantía</t>
  </si>
  <si>
    <t>Periodo de gracia</t>
  </si>
  <si>
    <t>Tasa de interes</t>
  </si>
  <si>
    <t>Amortización</t>
  </si>
  <si>
    <t>Plazo ( en años)</t>
  </si>
  <si>
    <t>semestral</t>
  </si>
  <si>
    <t>Intereses</t>
  </si>
  <si>
    <t>Total pagado</t>
  </si>
  <si>
    <t>Saldo</t>
  </si>
  <si>
    <t>AÑO 1</t>
  </si>
  <si>
    <t>AÑO 2</t>
  </si>
  <si>
    <t>AÑO 3</t>
  </si>
  <si>
    <t>COSTO DE M.P. UTILIZADA</t>
  </si>
  <si>
    <t>VENTAS BRUTAS</t>
  </si>
  <si>
    <t xml:space="preserve">   Costo de ventas</t>
  </si>
  <si>
    <t>TOTAL COSTO DE VENTAS</t>
  </si>
  <si>
    <t xml:space="preserve">Año1 </t>
  </si>
  <si>
    <t>Ventas del periodo</t>
  </si>
  <si>
    <t>Préstamo de largo plazo</t>
  </si>
  <si>
    <t>Préstamo de corto plazo</t>
  </si>
  <si>
    <t>TOTAL INGRESOS</t>
  </si>
  <si>
    <t>EGRESOS</t>
  </si>
  <si>
    <t>Pago de impuesto de renta</t>
  </si>
  <si>
    <t>TOTAL EGRESOS</t>
  </si>
  <si>
    <t>Flujo neto del periodo</t>
  </si>
  <si>
    <t>Más saldo inicial de caja</t>
  </si>
  <si>
    <t>SALDO FINAL DE CAJA</t>
  </si>
  <si>
    <t>Caja y Bancos</t>
  </si>
  <si>
    <t>Cuentas por cobrar</t>
  </si>
  <si>
    <t>Depreciación acumulada</t>
  </si>
  <si>
    <t>Obligaciones bancarias C.P</t>
  </si>
  <si>
    <t>Obligaciones bancarias a L.P.</t>
  </si>
  <si>
    <t>PASIVO A LARGO PLAZO</t>
  </si>
  <si>
    <t>PRESUPUESTO DE GASTOS DE ADMINISTRACIÓN Y VENTAS</t>
  </si>
  <si>
    <t>INGRESOS</t>
  </si>
  <si>
    <t>VENTAS NETAS</t>
  </si>
  <si>
    <t>Año</t>
  </si>
  <si>
    <t xml:space="preserve">más:    </t>
  </si>
  <si>
    <t xml:space="preserve">igual:    </t>
  </si>
  <si>
    <t>Costo de MOD</t>
  </si>
  <si>
    <t>CIF</t>
  </si>
  <si>
    <t>-</t>
  </si>
  <si>
    <t>Descuentos</t>
  </si>
  <si>
    <t>=</t>
  </si>
  <si>
    <t>UTILIDAD OPERATIVA</t>
  </si>
  <si>
    <t>PRESUPUESTO DE MANO DE OBRA DIRECTA</t>
  </si>
  <si>
    <t>Diferencia</t>
  </si>
  <si>
    <t>Flujo de Caja</t>
  </si>
  <si>
    <t>EVALUACION FINANCIERA DE PROYECTOS</t>
  </si>
  <si>
    <t>En un proyecto de inversión para financiar el 60% de los recursos requeridos se debe acudir a los bancos y solicitar los siguientes créditos; los recursos restantes provienes de los accionistas(40%).</t>
  </si>
  <si>
    <t>Banco 1.</t>
  </si>
  <si>
    <t>Banco 2.</t>
  </si>
  <si>
    <t>Bnaco 3.</t>
  </si>
  <si>
    <t>Cuotas iguales a 5 años</t>
  </si>
  <si>
    <t>Cuotas iguales a 10 años</t>
  </si>
  <si>
    <t>Cuotas iguales a 8 años</t>
  </si>
  <si>
    <t>COSTO PROMEDIO PONDERADO DEL CAPITAL</t>
  </si>
  <si>
    <t>Costo promedio de la deuda ponderado Kd</t>
  </si>
  <si>
    <t>Interés</t>
  </si>
  <si>
    <t>Total deuda</t>
  </si>
  <si>
    <t>A</t>
  </si>
  <si>
    <t>B</t>
  </si>
  <si>
    <t>C</t>
  </si>
  <si>
    <t>(A * B)</t>
  </si>
  <si>
    <t xml:space="preserve">Kd </t>
  </si>
  <si>
    <t>Plazos/años</t>
  </si>
  <si>
    <t>Costo de la deuda según el horizonte de inversión Kd</t>
  </si>
  <si>
    <t>D1</t>
  </si>
  <si>
    <t>D2</t>
  </si>
  <si>
    <t>D3</t>
  </si>
  <si>
    <t>Periodo</t>
  </si>
  <si>
    <t>% Part.</t>
  </si>
  <si>
    <t>Total Deuda</t>
  </si>
  <si>
    <t>5 años</t>
  </si>
  <si>
    <t>10 años</t>
  </si>
  <si>
    <t>8 años</t>
  </si>
  <si>
    <t>Costo de la deuda   (TIR)</t>
  </si>
  <si>
    <t>PRESUPUESTO DE COSTOS INDIRECTOS DE FABRICACION (CIF)</t>
  </si>
  <si>
    <t>Visualizaciones</t>
  </si>
  <si>
    <t>Suscripciones</t>
  </si>
  <si>
    <t>Usuario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</si>
  <si>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</si>
  <si>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</si>
  <si>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</si>
  <si>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</si>
  <si>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</si>
  <si>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</si>
  <si>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</si>
  <si>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</si>
  <si>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</si>
  <si>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</si>
  <si>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</si>
  <si>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</si>
  <si>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 año 1</t>
  </si>
  <si>
    <t>Año 4</t>
  </si>
  <si>
    <t>Año 5</t>
  </si>
  <si>
    <t>Total 5 años</t>
  </si>
  <si>
    <t>Ciudadano</t>
  </si>
  <si>
    <t>Recolector</t>
  </si>
  <si>
    <t>Bodega</t>
  </si>
  <si>
    <t>Total usuarios</t>
  </si>
  <si>
    <t>Usuarios plataforma web</t>
  </si>
  <si>
    <t>Usuarios plataforma movil</t>
  </si>
  <si>
    <t>Clientes</t>
  </si>
  <si>
    <t>Ingresos</t>
  </si>
  <si>
    <t>Capacidad Instalada</t>
  </si>
  <si>
    <t>Capacidad proyectada</t>
  </si>
  <si>
    <t>Concepto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</si>
  <si>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</si>
  <si>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</si>
  <si>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</si>
  <si>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</si>
  <si>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</si>
  <si>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</si>
  <si>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</si>
  <si>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</si>
  <si>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</si>
  <si>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</si>
  <si>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</si>
  <si>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</si>
  <si>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Computadores</t>
  </si>
  <si>
    <t>Escritorios</t>
  </si>
  <si>
    <t>Sillas</t>
  </si>
  <si>
    <t>Dominio</t>
  </si>
  <si>
    <t>Hosting</t>
  </si>
  <si>
    <t>Software APP</t>
  </si>
  <si>
    <t>Diseño grafico</t>
  </si>
  <si>
    <t>Salario programador</t>
  </si>
  <si>
    <t>Impresión</t>
  </si>
  <si>
    <t>Salario comercial</t>
  </si>
  <si>
    <t>Gastos adicionales</t>
  </si>
  <si>
    <t>Total primeros 6 meses</t>
  </si>
  <si>
    <t>Diseño Grafico</t>
  </si>
  <si>
    <t>Salarios</t>
  </si>
  <si>
    <t>Efectivo</t>
  </si>
  <si>
    <t>Infraestructura</t>
  </si>
  <si>
    <t>NOMINA</t>
  </si>
  <si>
    <t>Empleado</t>
  </si>
  <si>
    <t>Cantidad</t>
  </si>
  <si>
    <t>Sueldo</t>
  </si>
  <si>
    <t>Total Sueldos</t>
  </si>
  <si>
    <t>Salud</t>
  </si>
  <si>
    <t>Pensión</t>
  </si>
  <si>
    <t>Carga Prestacional</t>
  </si>
  <si>
    <t>Parafiscales</t>
  </si>
  <si>
    <t>ARP</t>
  </si>
  <si>
    <t>GRAN TOTAL</t>
  </si>
  <si>
    <t>Pago obligaciones bancarias</t>
  </si>
  <si>
    <t>Año4</t>
  </si>
  <si>
    <t>Compra de software</t>
  </si>
  <si>
    <t>Semestre</t>
  </si>
  <si>
    <t>Dotación oficina</t>
  </si>
  <si>
    <t>Porción corriente oblig. a L.P.</t>
  </si>
  <si>
    <t>AÑO 4</t>
  </si>
  <si>
    <t>AÑO 5</t>
  </si>
  <si>
    <t>PROYECTO R-CY</t>
  </si>
  <si>
    <t>Estado de Resultados</t>
  </si>
  <si>
    <t>Solicitudes</t>
  </si>
  <si>
    <t>Ingresos por publicidad</t>
  </si>
  <si>
    <t>Salario programado</t>
  </si>
  <si>
    <t>INFLACIÓN</t>
  </si>
  <si>
    <t>PLAN DE AMORTIZACIÓN DEL CREDITO DE MEDIANO PLAZO</t>
  </si>
  <si>
    <t>Internos</t>
  </si>
  <si>
    <t>para los cinco años presupuestados</t>
  </si>
  <si>
    <t>*Aumenta conforme a la capacidad instalada que se pretende ofrecer, excepto el dominio</t>
  </si>
  <si>
    <t>Comercial</t>
  </si>
  <si>
    <t>Programador</t>
  </si>
  <si>
    <t>Total ultimos 6 meses</t>
  </si>
  <si>
    <t>*Se mantiene constante por la fabricación propia y posterior trabajo en su administración</t>
  </si>
  <si>
    <t>* se mantiene constante</t>
  </si>
  <si>
    <t>* La impresión se mantiene constante, los gastos y el salario aumentan conforme al numero de nuevos clientes directos</t>
  </si>
  <si>
    <t>Clientes con 2 años de fidelidad</t>
  </si>
  <si>
    <t>Suscripciones descontadas</t>
  </si>
  <si>
    <t>Total descuento $20,000 x suscripción</t>
  </si>
  <si>
    <t>Clientes con 3 años de fidelidad</t>
  </si>
  <si>
    <t>Total descuento $30,000 x suscripción</t>
  </si>
  <si>
    <t>Clientes con más de 3 años de fidelidad</t>
  </si>
  <si>
    <t>Total descuento $15,000 x suscripción</t>
  </si>
  <si>
    <t>PRESUPUESTO DE DESCUENTO</t>
  </si>
  <si>
    <t>Proyeccion 1er Año</t>
  </si>
  <si>
    <t>PROPORCIÓN DE CLIENTES MENSUALES</t>
  </si>
  <si>
    <t>PROYECCIÓN DE USUARIOS Y CLIENTES  PLATAFORMA TOTAL</t>
  </si>
  <si>
    <t>PROYECCIÓN DE USUARIOS Y CLIENTES PLATAFORMA MOVIL</t>
  </si>
  <si>
    <t>PROYECCIÓN DE USUARIOS Y CLIENTES ACUMULADOS</t>
  </si>
  <si>
    <t>PROYECCIÓN DE USUARIOS ACUMULADOS</t>
  </si>
  <si>
    <t>PROYECCIÓN DE INGRESOS POR PUBLICIDAD</t>
  </si>
  <si>
    <t>Precio x visualización</t>
  </si>
  <si>
    <t>Numero de solicitudes x semana</t>
  </si>
  <si>
    <t>SEMANAS POR PERIODO</t>
  </si>
  <si>
    <t>AUMENTO DE USUARIOS</t>
  </si>
  <si>
    <t xml:space="preserve">Estimacion de la Tasa de Descuento </t>
  </si>
  <si>
    <t xml:space="preserve">Capital Asset pricing Model </t>
  </si>
  <si>
    <t xml:space="preserve">Costo de Oportunidad </t>
  </si>
  <si>
    <t xml:space="preserve">CAPM </t>
  </si>
  <si>
    <t>Weighted Average Cost of Capital , WACC</t>
  </si>
  <si>
    <t xml:space="preserve">Costo Promedio Ponderado  del  capital  CPPC </t>
  </si>
  <si>
    <t>Kd</t>
  </si>
  <si>
    <t>rf</t>
  </si>
  <si>
    <t>Ke</t>
  </si>
  <si>
    <t>rm-rf</t>
  </si>
  <si>
    <t xml:space="preserve">Estructura de Capital  proyectada </t>
  </si>
  <si>
    <t>WACC</t>
  </si>
  <si>
    <t xml:space="preserve">Beta </t>
  </si>
  <si>
    <t xml:space="preserve">wacc= kd*(1-tax )* % pasivo + Ke * % patrimonio </t>
  </si>
  <si>
    <t>rp</t>
  </si>
  <si>
    <t xml:space="preserve">Pasivo </t>
  </si>
  <si>
    <t xml:space="preserve">Patrimonio </t>
  </si>
  <si>
    <t xml:space="preserve">Modigliani &amp; Miller </t>
  </si>
  <si>
    <t xml:space="preserve">Total </t>
  </si>
  <si>
    <t xml:space="preserve">Ko  </t>
  </si>
  <si>
    <t>INDICADORES</t>
  </si>
  <si>
    <t>MARGEN BRUTO</t>
  </si>
  <si>
    <t>MARGEN OPERACIONAL</t>
  </si>
  <si>
    <t>MARGEN NETO</t>
  </si>
  <si>
    <t>MARGEN EBITDA</t>
  </si>
  <si>
    <t>ROE</t>
  </si>
  <si>
    <t>ROA</t>
  </si>
  <si>
    <t>ROIC</t>
  </si>
  <si>
    <t>EVALUACION</t>
  </si>
  <si>
    <t>VPN  &amp; EVA</t>
  </si>
  <si>
    <t xml:space="preserve">Ganancia Operativa </t>
  </si>
  <si>
    <t>Gancia Op*(1-t)=NOPAT</t>
  </si>
  <si>
    <t xml:space="preserve">Activos Totales </t>
  </si>
  <si>
    <t xml:space="preserve">(-) Activos  No Operativos </t>
  </si>
  <si>
    <t xml:space="preserve">(-) Pasivos no Financieros </t>
  </si>
  <si>
    <t xml:space="preserve">(=) Capital </t>
  </si>
  <si>
    <t xml:space="preserve">NOPAT </t>
  </si>
  <si>
    <t xml:space="preserve">(-) Inversión Neta </t>
  </si>
  <si>
    <t xml:space="preserve">(=) Free Cash Flow </t>
  </si>
  <si>
    <t xml:space="preserve">EVA (Anual) </t>
  </si>
  <si>
    <t xml:space="preserve">Factor de Descuento </t>
  </si>
  <si>
    <t xml:space="preserve">VP FCF </t>
  </si>
  <si>
    <t xml:space="preserve">VP EVA </t>
  </si>
  <si>
    <t>Economic Value Added, EVA*</t>
  </si>
  <si>
    <t xml:space="preserve">Valor Presente Neto </t>
  </si>
  <si>
    <t>Valor de la Empresa según DCF</t>
  </si>
  <si>
    <t xml:space="preserve">Valor de la empresa según DCF EVA </t>
  </si>
  <si>
    <t>http://www.banrep.gov.co/sites/default/files/Tasas_captacion_semanales.xls</t>
  </si>
  <si>
    <t>http://www.asobancaria.com/sabermassermas/conversion-de-tasas-de-interes/</t>
  </si>
  <si>
    <t>% semestre vencido</t>
  </si>
  <si>
    <t>DTF a 2 de noviembre de 2018</t>
  </si>
  <si>
    <t>http://pages.stern.nyu.edu/~adamodar/New_Home_Page/datafile/ctryprem.html</t>
  </si>
  <si>
    <t>http://pages.stern.nyu.edu/~adamodar/New_Home_Page/datafile/roe.html</t>
  </si>
  <si>
    <t>ROE por sector Damodaran, Seleccionado: Software (System &amp; Application)</t>
  </si>
  <si>
    <t>Riesgo País Damodaran, seleccionado: Colombia</t>
  </si>
  <si>
    <t>Impuesto (Tx)</t>
  </si>
  <si>
    <t>Indicadores financieros</t>
  </si>
  <si>
    <t>UTILIDAD</t>
  </si>
  <si>
    <t>LIQUIDEZ</t>
  </si>
  <si>
    <t>ENDEUDAMIENTO</t>
  </si>
  <si>
    <t>Razón corriente</t>
  </si>
  <si>
    <t>Endeudamietno total</t>
  </si>
  <si>
    <t>Cobertura de interes</t>
  </si>
  <si>
    <t>Concentración CP</t>
  </si>
  <si>
    <t>Capital de trabajo (millones)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</si>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</sst>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_-;\-* #,##0_-;_-* &quot;-&quot;??_-;_-@_-"/>
    <numFmt numFmtId="167" formatCode="&quot;$&quot;\ #,##0"/>
    <numFmt numFmtId="168" formatCode="_(* #,##0_);_(* \(#,##0\);_(* &quot;-&quot;??_);_(@_)"/>
    <numFmt numFmtId="169" formatCode="&quot;$&quot;\ #,##0.000"/>
    <numFmt numFmtId="170" formatCode="_(&quot;$&quot;\ * #,##0_);_(&quot;$&quot;\ * \(#,##0\);_(&quot;$&quot;\ * &quot;-&quot;??_);_(@_)"/>
    <numFmt numFmtId="171" formatCode="0.000%"/>
    <numFmt numFmtId="172" formatCode="&quot;$&quot;#,##0"/>
    <numFmt numFmtId="173" formatCode="_-&quot;$&quot;* #,##0_-;\-&quot;$&quot;* #,##0_-;_-&quot;$&quot;* &quot;-&quot;??_-;_-@_-"/>
    <numFmt numFmtId="177" formatCode="&quot;$&quot;#,##0.00"/>
    <numFmt numFmtId="179" formatCode="0.0%"/>
    <numFmt numFmtId="180" formatCode="&quot;$&quot;\ #,##0_);[Red]\(&quot;$&quot;\ #,##0\)"/>
    <numFmt numFmtId="183" formatCode="_-* #,##0.0_-;\-* #,##0.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4"/>
      <color rgb="FFFFC000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rgb="FF000000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48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4" fillId="0" borderId="17" xfId="0" applyFont="1" applyBorder="1"/>
    <xf numFmtId="0" fontId="0" fillId="0" borderId="17" xfId="0" applyBorder="1" applyAlignment="1">
      <alignment horizontal="center" vertical="center"/>
    </xf>
    <xf numFmtId="0" fontId="4" fillId="4" borderId="17" xfId="0" applyFont="1" applyFill="1" applyBorder="1"/>
    <xf numFmtId="0" fontId="0" fillId="4" borderId="17" xfId="0" applyFill="1" applyBorder="1"/>
    <xf numFmtId="10" fontId="0" fillId="0" borderId="17" xfId="0" applyNumberForma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10" fontId="8" fillId="4" borderId="17" xfId="0" applyNumberFormat="1" applyFont="1" applyFill="1" applyBorder="1"/>
    <xf numFmtId="8" fontId="0" fillId="0" borderId="17" xfId="0" applyNumberFormat="1" applyBorder="1"/>
    <xf numFmtId="0" fontId="0" fillId="0" borderId="17" xfId="0" applyBorder="1" applyAlignment="1">
      <alignment horizontal="center"/>
    </xf>
    <xf numFmtId="0" fontId="5" fillId="6" borderId="0" xfId="0" applyFont="1" applyFill="1" applyAlignment="1">
      <alignment horizontal="center" vertical="center"/>
    </xf>
    <xf numFmtId="8" fontId="0" fillId="6" borderId="0" xfId="0" applyNumberFormat="1" applyFill="1"/>
    <xf numFmtId="0" fontId="4" fillId="5" borderId="0" xfId="0" applyFont="1" applyFill="1"/>
    <xf numFmtId="0" fontId="0" fillId="5" borderId="0" xfId="0" applyFill="1"/>
    <xf numFmtId="10" fontId="8" fillId="5" borderId="17" xfId="0" applyNumberFormat="1" applyFont="1" applyFill="1" applyBorder="1"/>
    <xf numFmtId="0" fontId="12" fillId="0" borderId="0" xfId="4" applyFont="1"/>
    <xf numFmtId="0" fontId="12" fillId="0" borderId="0" xfId="4" applyFont="1" applyAlignment="1">
      <alignment horizontal="center"/>
    </xf>
    <xf numFmtId="3" fontId="12" fillId="0" borderId="0" xfId="6" applyNumberFormat="1" applyFont="1"/>
    <xf numFmtId="3" fontId="12" fillId="0" borderId="0" xfId="4" applyNumberFormat="1" applyFont="1"/>
    <xf numFmtId="168" fontId="12" fillId="0" borderId="0" xfId="6" applyNumberFormat="1" applyFont="1"/>
    <xf numFmtId="165" fontId="12" fillId="0" borderId="0" xfId="4" applyNumberFormat="1" applyFont="1"/>
    <xf numFmtId="167" fontId="12" fillId="0" borderId="0" xfId="7" applyNumberFormat="1" applyFont="1"/>
    <xf numFmtId="168" fontId="12" fillId="0" borderId="0" xfId="4" applyNumberFormat="1" applyFont="1"/>
    <xf numFmtId="165" fontId="12" fillId="0" borderId="0" xfId="6" applyFont="1"/>
    <xf numFmtId="0" fontId="13" fillId="0" borderId="0" xfId="8" applyAlignment="1">
      <alignment horizontal="center"/>
    </xf>
    <xf numFmtId="167" fontId="13" fillId="0" borderId="0" xfId="8" applyNumberFormat="1" applyAlignment="1">
      <alignment horizontal="center"/>
    </xf>
    <xf numFmtId="0" fontId="13" fillId="0" borderId="0" xfId="8"/>
    <xf numFmtId="167" fontId="13" fillId="0" borderId="0" xfId="8" applyNumberFormat="1"/>
    <xf numFmtId="0" fontId="13" fillId="0" borderId="0" xfId="8" applyAlignment="1">
      <alignment horizontal="right"/>
    </xf>
    <xf numFmtId="170" fontId="0" fillId="0" borderId="0" xfId="9" applyNumberFormat="1" applyFont="1"/>
    <xf numFmtId="171" fontId="0" fillId="0" borderId="0" xfId="10" applyNumberFormat="1" applyFont="1"/>
    <xf numFmtId="0" fontId="13" fillId="0" borderId="19" xfId="8" applyBorder="1" applyAlignment="1">
      <alignment horizontal="center"/>
    </xf>
    <xf numFmtId="0" fontId="13" fillId="0" borderId="20" xfId="8" applyBorder="1" applyAlignment="1">
      <alignment horizontal="center"/>
    </xf>
    <xf numFmtId="0" fontId="13" fillId="0" borderId="21" xfId="8" applyBorder="1" applyAlignment="1">
      <alignment horizontal="center"/>
    </xf>
    <xf numFmtId="0" fontId="13" fillId="0" borderId="17" xfId="8" applyBorder="1"/>
    <xf numFmtId="170" fontId="0" fillId="0" borderId="17" xfId="9" applyNumberFormat="1" applyFont="1" applyBorder="1"/>
    <xf numFmtId="170" fontId="0" fillId="0" borderId="23" xfId="9" applyNumberFormat="1" applyFont="1" applyBorder="1"/>
    <xf numFmtId="0" fontId="13" fillId="0" borderId="24" xfId="8" applyBorder="1"/>
    <xf numFmtId="0" fontId="13" fillId="0" borderId="25" xfId="8" applyBorder="1"/>
    <xf numFmtId="170" fontId="0" fillId="0" borderId="25" xfId="9" applyNumberFormat="1" applyFont="1" applyBorder="1"/>
    <xf numFmtId="170" fontId="0" fillId="0" borderId="26" xfId="9" applyNumberFormat="1" applyFont="1" applyBorder="1"/>
    <xf numFmtId="170" fontId="13" fillId="0" borderId="0" xfId="8" applyNumberFormat="1"/>
    <xf numFmtId="168" fontId="14" fillId="0" borderId="0" xfId="8" applyNumberFormat="1" applyFont="1"/>
    <xf numFmtId="170" fontId="13" fillId="0" borderId="29" xfId="8" applyNumberFormat="1" applyBorder="1"/>
    <xf numFmtId="170" fontId="13" fillId="0" borderId="18" xfId="8" applyNumberFormat="1" applyBorder="1"/>
    <xf numFmtId="164" fontId="13" fillId="0" borderId="0" xfId="8" applyNumberFormat="1"/>
    <xf numFmtId="167" fontId="0" fillId="0" borderId="23" xfId="9" applyNumberFormat="1" applyFont="1" applyBorder="1"/>
    <xf numFmtId="167" fontId="13" fillId="0" borderId="29" xfId="8" applyNumberFormat="1" applyBorder="1"/>
    <xf numFmtId="167" fontId="13" fillId="0" borderId="18" xfId="8" applyNumberFormat="1" applyBorder="1"/>
    <xf numFmtId="0" fontId="16" fillId="0" borderId="0" xfId="0" applyFont="1"/>
    <xf numFmtId="166" fontId="16" fillId="0" borderId="0" xfId="1" applyNumberFormat="1" applyFont="1"/>
    <xf numFmtId="0" fontId="16" fillId="0" borderId="5" xfId="0" applyFont="1" applyBorder="1"/>
    <xf numFmtId="166" fontId="16" fillId="0" borderId="7" xfId="1" applyNumberFormat="1" applyFont="1" applyBorder="1"/>
    <xf numFmtId="166" fontId="16" fillId="0" borderId="9" xfId="1" applyNumberFormat="1" applyFont="1" applyBorder="1"/>
    <xf numFmtId="0" fontId="16" fillId="0" borderId="4" xfId="0" applyFont="1" applyBorder="1"/>
    <xf numFmtId="166" fontId="17" fillId="0" borderId="0" xfId="1" applyNumberFormat="1" applyFont="1" applyBorder="1"/>
    <xf numFmtId="166" fontId="16" fillId="0" borderId="8" xfId="1" applyNumberFormat="1" applyFont="1" applyBorder="1"/>
    <xf numFmtId="166" fontId="16" fillId="0" borderId="0" xfId="1" applyNumberFormat="1" applyFont="1" applyBorder="1"/>
    <xf numFmtId="166" fontId="17" fillId="0" borderId="7" xfId="1" applyNumberFormat="1" applyFont="1" applyBorder="1"/>
    <xf numFmtId="0" fontId="16" fillId="2" borderId="3" xfId="0" applyFont="1" applyFill="1" applyBorder="1"/>
    <xf numFmtId="166" fontId="17" fillId="2" borderId="10" xfId="1" applyNumberFormat="1" applyFont="1" applyFill="1" applyBorder="1"/>
    <xf numFmtId="166" fontId="16" fillId="2" borderId="10" xfId="1" applyNumberFormat="1" applyFont="1" applyFill="1" applyBorder="1"/>
    <xf numFmtId="166" fontId="16" fillId="2" borderId="11" xfId="1" applyNumberFormat="1" applyFont="1" applyFill="1" applyBorder="1"/>
    <xf numFmtId="9" fontId="17" fillId="0" borderId="0" xfId="2" applyFont="1" applyBorder="1"/>
    <xf numFmtId="0" fontId="16" fillId="0" borderId="3" xfId="0" applyFont="1" applyBorder="1"/>
    <xf numFmtId="166" fontId="17" fillId="0" borderId="10" xfId="1" applyNumberFormat="1" applyFont="1" applyBorder="1"/>
    <xf numFmtId="166" fontId="16" fillId="0" borderId="11" xfId="1" applyNumberFormat="1" applyFont="1" applyBorder="1"/>
    <xf numFmtId="0" fontId="16" fillId="0" borderId="14" xfId="0" applyFont="1" applyBorder="1"/>
    <xf numFmtId="166" fontId="17" fillId="0" borderId="7" xfId="1" applyNumberFormat="1" applyFont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166" fontId="17" fillId="0" borderId="0" xfId="1" applyNumberFormat="1" applyFont="1" applyFill="1" applyBorder="1"/>
    <xf numFmtId="1" fontId="17" fillId="0" borderId="0" xfId="1" applyNumberFormat="1" applyFont="1" applyFill="1" applyBorder="1" applyAlignment="1">
      <alignment horizontal="center" vertical="center"/>
    </xf>
    <xf numFmtId="172" fontId="16" fillId="0" borderId="0" xfId="1" applyNumberFormat="1" applyFont="1" applyFill="1" applyBorder="1"/>
    <xf numFmtId="0" fontId="18" fillId="0" borderId="0" xfId="0" applyFont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66" fontId="18" fillId="0" borderId="0" xfId="1" applyNumberFormat="1" applyFont="1"/>
    <xf numFmtId="166" fontId="18" fillId="0" borderId="4" xfId="1" applyNumberFormat="1" applyFont="1" applyBorder="1"/>
    <xf numFmtId="166" fontId="18" fillId="0" borderId="8" xfId="1" applyNumberFormat="1" applyFont="1" applyBorder="1"/>
    <xf numFmtId="0" fontId="18" fillId="8" borderId="0" xfId="0" applyFont="1" applyFill="1"/>
    <xf numFmtId="167" fontId="12" fillId="8" borderId="0" xfId="1" applyNumberFormat="1" applyFont="1" applyFill="1" applyBorder="1" applyAlignment="1">
      <alignment horizontal="center" vertical="center"/>
    </xf>
    <xf numFmtId="0" fontId="20" fillId="0" borderId="2" xfId="0" applyFont="1" applyBorder="1"/>
    <xf numFmtId="167" fontId="12" fillId="0" borderId="2" xfId="1" applyNumberFormat="1" applyFont="1" applyFill="1" applyBorder="1" applyAlignment="1">
      <alignment horizontal="center" vertical="center"/>
    </xf>
    <xf numFmtId="167" fontId="21" fillId="0" borderId="2" xfId="1" applyNumberFormat="1" applyFont="1" applyFill="1" applyBorder="1" applyAlignment="1">
      <alignment horizontal="center" vertical="center"/>
    </xf>
    <xf numFmtId="166" fontId="20" fillId="0" borderId="0" xfId="1" applyNumberFormat="1" applyFont="1" applyFill="1" applyBorder="1"/>
    <xf numFmtId="166" fontId="18" fillId="0" borderId="0" xfId="1" applyNumberFormat="1" applyFont="1" applyFill="1" applyBorder="1"/>
    <xf numFmtId="0" fontId="18" fillId="8" borderId="0" xfId="0" applyFont="1" applyFill="1" applyBorder="1"/>
    <xf numFmtId="166" fontId="18" fillId="8" borderId="0" xfId="0" applyNumberFormat="1" applyFont="1" applyFill="1" applyBorder="1"/>
    <xf numFmtId="166" fontId="18" fillId="0" borderId="0" xfId="1" applyNumberFormat="1" applyFont="1" applyBorder="1"/>
    <xf numFmtId="166" fontId="18" fillId="0" borderId="0" xfId="0" applyNumberFormat="1" applyFont="1" applyBorder="1"/>
    <xf numFmtId="0" fontId="18" fillId="0" borderId="0" xfId="0" applyFont="1" applyFill="1" applyBorder="1"/>
    <xf numFmtId="0" fontId="20" fillId="0" borderId="0" xfId="0" applyFont="1" applyFill="1" applyBorder="1"/>
    <xf numFmtId="172" fontId="18" fillId="0" borderId="0" xfId="1" applyNumberFormat="1" applyFont="1" applyFill="1" applyBorder="1"/>
    <xf numFmtId="0" fontId="18" fillId="0" borderId="0" xfId="0" applyFont="1" applyFill="1" applyBorder="1" applyAlignment="1">
      <alignment horizontal="left" indent="1"/>
    </xf>
    <xf numFmtId="166" fontId="18" fillId="0" borderId="0" xfId="0" applyNumberFormat="1" applyFont="1" applyFill="1" applyBorder="1"/>
    <xf numFmtId="166" fontId="21" fillId="0" borderId="0" xfId="0" applyNumberFormat="1" applyFont="1" applyFill="1" applyBorder="1"/>
    <xf numFmtId="0" fontId="19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 indent="2"/>
    </xf>
    <xf numFmtId="166" fontId="12" fillId="0" borderId="0" xfId="1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172" fontId="12" fillId="0" borderId="0" xfId="1" applyNumberFormat="1" applyFont="1" applyFill="1" applyBorder="1" applyAlignment="1">
      <alignment horizontal="center" vertical="center"/>
    </xf>
    <xf numFmtId="0" fontId="12" fillId="0" borderId="0" xfId="4" applyFont="1" applyAlignment="1">
      <alignment horizontal="center"/>
    </xf>
    <xf numFmtId="166" fontId="16" fillId="0" borderId="8" xfId="1" applyNumberFormat="1" applyFont="1" applyFill="1" applyBorder="1"/>
    <xf numFmtId="0" fontId="18" fillId="0" borderId="4" xfId="0" applyFont="1" applyBorder="1"/>
    <xf numFmtId="0" fontId="20" fillId="0" borderId="5" xfId="0" applyFont="1" applyBorder="1"/>
    <xf numFmtId="166" fontId="20" fillId="0" borderId="7" xfId="1" applyNumberFormat="1" applyFont="1" applyBorder="1"/>
    <xf numFmtId="166" fontId="18" fillId="0" borderId="9" xfId="1" applyNumberFormat="1" applyFont="1" applyBorder="1"/>
    <xf numFmtId="0" fontId="20" fillId="0" borderId="4" xfId="0" applyFont="1" applyBorder="1"/>
    <xf numFmtId="166" fontId="20" fillId="0" borderId="0" xfId="1" applyNumberFormat="1" applyFont="1" applyBorder="1"/>
    <xf numFmtId="166" fontId="18" fillId="3" borderId="0" xfId="1" applyNumberFormat="1" applyFont="1" applyFill="1" applyBorder="1"/>
    <xf numFmtId="169" fontId="18" fillId="0" borderId="0" xfId="1" applyNumberFormat="1" applyFont="1" applyBorder="1"/>
    <xf numFmtId="167" fontId="18" fillId="0" borderId="0" xfId="1" applyNumberFormat="1" applyFont="1" applyBorder="1"/>
    <xf numFmtId="0" fontId="18" fillId="0" borderId="5" xfId="0" applyFont="1" applyBorder="1"/>
    <xf numFmtId="166" fontId="18" fillId="0" borderId="7" xfId="1" applyNumberFormat="1" applyFont="1" applyBorder="1"/>
    <xf numFmtId="9" fontId="20" fillId="0" borderId="18" xfId="2" applyFont="1" applyBorder="1" applyAlignment="1">
      <alignment horizontal="center" vertical="center"/>
    </xf>
    <xf numFmtId="0" fontId="18" fillId="0" borderId="0" xfId="0" applyFont="1" applyBorder="1"/>
    <xf numFmtId="166" fontId="20" fillId="0" borderId="8" xfId="1" applyNumberFormat="1" applyFont="1" applyBorder="1"/>
    <xf numFmtId="166" fontId="18" fillId="0" borderId="0" xfId="1" applyNumberFormat="1" applyFont="1" applyBorder="1" applyAlignment="1">
      <alignment horizontal="center" vertical="center"/>
    </xf>
    <xf numFmtId="166" fontId="18" fillId="0" borderId="8" xfId="1" applyNumberFormat="1" applyFont="1" applyBorder="1" applyAlignment="1">
      <alignment horizontal="center" vertical="center"/>
    </xf>
    <xf numFmtId="166" fontId="20" fillId="0" borderId="5" xfId="1" applyNumberFormat="1" applyFont="1" applyBorder="1"/>
    <xf numFmtId="166" fontId="20" fillId="0" borderId="4" xfId="1" applyNumberFormat="1" applyFont="1" applyBorder="1"/>
    <xf numFmtId="168" fontId="18" fillId="0" borderId="0" xfId="1" applyNumberFormat="1" applyFont="1" applyBorder="1"/>
    <xf numFmtId="166" fontId="20" fillId="0" borderId="9" xfId="1" applyNumberFormat="1" applyFont="1" applyBorder="1"/>
    <xf numFmtId="166" fontId="18" fillId="0" borderId="5" xfId="1" applyNumberFormat="1" applyFont="1" applyBorder="1"/>
    <xf numFmtId="168" fontId="20" fillId="0" borderId="7" xfId="1" applyNumberFormat="1" applyFont="1" applyBorder="1"/>
    <xf numFmtId="166" fontId="20" fillId="7" borderId="0" xfId="1" applyNumberFormat="1" applyFont="1" applyFill="1" applyBorder="1" applyAlignment="1">
      <alignment horizontal="center" vertical="center"/>
    </xf>
    <xf numFmtId="0" fontId="20" fillId="0" borderId="0" xfId="0" applyFont="1" applyBorder="1"/>
    <xf numFmtId="0" fontId="18" fillId="0" borderId="0" xfId="0" applyFont="1" applyBorder="1" applyAlignment="1">
      <alignment horizontal="left" indent="1"/>
    </xf>
    <xf numFmtId="0" fontId="18" fillId="0" borderId="0" xfId="0" applyFont="1" applyAlignment="1">
      <alignment horizontal="center"/>
    </xf>
    <xf numFmtId="166" fontId="18" fillId="0" borderId="4" xfId="1" applyNumberFormat="1" applyFont="1" applyBorder="1" applyAlignment="1">
      <alignment horizontal="center"/>
    </xf>
    <xf numFmtId="166" fontId="20" fillId="0" borderId="0" xfId="1" applyNumberFormat="1" applyFont="1" applyBorder="1" applyAlignment="1">
      <alignment horizontal="center"/>
    </xf>
    <xf numFmtId="166" fontId="20" fillId="0" borderId="8" xfId="1" applyNumberFormat="1" applyFont="1" applyBorder="1" applyAlignment="1">
      <alignment horizontal="center"/>
    </xf>
    <xf numFmtId="166" fontId="18" fillId="0" borderId="0" xfId="1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" fillId="0" borderId="22" xfId="8" applyFont="1" applyBorder="1"/>
    <xf numFmtId="167" fontId="2" fillId="0" borderId="0" xfId="8" applyNumberFormat="1" applyFont="1" applyAlignment="1">
      <alignment horizontal="center"/>
    </xf>
    <xf numFmtId="9" fontId="16" fillId="0" borderId="0" xfId="2" applyNumberFormat="1" applyFont="1"/>
    <xf numFmtId="173" fontId="18" fillId="0" borderId="0" xfId="11" applyNumberFormat="1" applyFont="1" applyBorder="1"/>
    <xf numFmtId="0" fontId="20" fillId="0" borderId="0" xfId="0" applyFont="1" applyBorder="1" applyAlignment="1">
      <alignment horizontal="right"/>
    </xf>
    <xf numFmtId="173" fontId="20" fillId="0" borderId="0" xfId="11" applyNumberFormat="1" applyFont="1" applyBorder="1"/>
    <xf numFmtId="172" fontId="18" fillId="0" borderId="0" xfId="1" applyNumberFormat="1" applyFont="1" applyBorder="1"/>
    <xf numFmtId="172" fontId="18" fillId="0" borderId="0" xfId="0" applyNumberFormat="1" applyFont="1" applyBorder="1"/>
    <xf numFmtId="172" fontId="18" fillId="2" borderId="0" xfId="1" applyNumberFormat="1" applyFont="1" applyFill="1" applyBorder="1"/>
    <xf numFmtId="172" fontId="21" fillId="0" borderId="0" xfId="0" applyNumberFormat="1" applyFont="1" applyBorder="1"/>
    <xf numFmtId="172" fontId="18" fillId="5" borderId="0" xfId="1" applyNumberFormat="1" applyFont="1" applyFill="1" applyBorder="1"/>
    <xf numFmtId="172" fontId="18" fillId="5" borderId="0" xfId="0" applyNumberFormat="1" applyFont="1" applyFill="1" applyBorder="1"/>
    <xf numFmtId="172" fontId="21" fillId="5" borderId="0" xfId="0" applyNumberFormat="1" applyFont="1" applyFill="1" applyBorder="1"/>
    <xf numFmtId="0" fontId="12" fillId="0" borderId="4" xfId="4" applyFont="1" applyBorder="1"/>
    <xf numFmtId="0" fontId="12" fillId="0" borderId="0" xfId="4" applyFont="1" applyBorder="1"/>
    <xf numFmtId="0" fontId="12" fillId="0" borderId="8" xfId="4" applyFont="1" applyBorder="1"/>
    <xf numFmtId="3" fontId="12" fillId="0" borderId="0" xfId="6" applyNumberFormat="1" applyFont="1" applyBorder="1"/>
    <xf numFmtId="3" fontId="12" fillId="0" borderId="0" xfId="4" applyNumberFormat="1" applyFont="1" applyBorder="1"/>
    <xf numFmtId="3" fontId="12" fillId="0" borderId="8" xfId="4" applyNumberFormat="1" applyFont="1" applyBorder="1"/>
    <xf numFmtId="0" fontId="21" fillId="0" borderId="0" xfId="4" applyFont="1" applyBorder="1"/>
    <xf numFmtId="0" fontId="21" fillId="0" borderId="8" xfId="4" applyFont="1" applyBorder="1" applyAlignment="1">
      <alignment horizontal="center"/>
    </xf>
    <xf numFmtId="0" fontId="21" fillId="0" borderId="0" xfId="4" applyFont="1" applyBorder="1" applyAlignment="1">
      <alignment horizontal="center"/>
    </xf>
    <xf numFmtId="0" fontId="21" fillId="0" borderId="5" xfId="4" applyFont="1" applyBorder="1"/>
    <xf numFmtId="3" fontId="21" fillId="0" borderId="7" xfId="6" applyNumberFormat="1" applyFont="1" applyBorder="1"/>
    <xf numFmtId="3" fontId="21" fillId="0" borderId="7" xfId="4" applyNumberFormat="1" applyFont="1" applyBorder="1"/>
    <xf numFmtId="3" fontId="21" fillId="0" borderId="9" xfId="4" applyNumberFormat="1" applyFont="1" applyBorder="1"/>
    <xf numFmtId="0" fontId="21" fillId="0" borderId="0" xfId="4" applyFont="1"/>
    <xf numFmtId="0" fontId="12" fillId="0" borderId="34" xfId="4" applyFont="1" applyBorder="1"/>
    <xf numFmtId="0" fontId="12" fillId="0" borderId="35" xfId="4" applyFont="1" applyBorder="1"/>
    <xf numFmtId="0" fontId="12" fillId="0" borderId="36" xfId="4" applyFont="1" applyBorder="1"/>
    <xf numFmtId="9" fontId="12" fillId="0" borderId="27" xfId="5" applyFont="1" applyBorder="1"/>
    <xf numFmtId="9" fontId="12" fillId="0" borderId="28" xfId="5" applyFont="1" applyBorder="1"/>
    <xf numFmtId="9" fontId="12" fillId="0" borderId="29" xfId="5" applyFont="1" applyBorder="1"/>
    <xf numFmtId="0" fontId="21" fillId="0" borderId="37" xfId="4" applyFont="1" applyBorder="1" applyAlignment="1">
      <alignment horizontal="center"/>
    </xf>
    <xf numFmtId="0" fontId="21" fillId="0" borderId="38" xfId="4" applyFont="1" applyBorder="1" applyAlignment="1">
      <alignment horizontal="center"/>
    </xf>
    <xf numFmtId="0" fontId="21" fillId="0" borderId="39" xfId="4" applyFont="1" applyBorder="1" applyAlignment="1">
      <alignment horizontal="center"/>
    </xf>
    <xf numFmtId="3" fontId="12" fillId="0" borderId="39" xfId="6" applyNumberFormat="1" applyFont="1" applyBorder="1"/>
    <xf numFmtId="3" fontId="12" fillId="0" borderId="40" xfId="6" applyNumberFormat="1" applyFont="1" applyBorder="1"/>
    <xf numFmtId="0" fontId="21" fillId="0" borderId="40" xfId="4" applyFont="1" applyBorder="1" applyAlignment="1">
      <alignment horizontal="center"/>
    </xf>
    <xf numFmtId="166" fontId="20" fillId="0" borderId="0" xfId="1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166" fontId="20" fillId="7" borderId="0" xfId="1" applyNumberFormat="1" applyFont="1" applyFill="1" applyBorder="1" applyAlignment="1">
      <alignment horizontal="center" vertical="center"/>
    </xf>
    <xf numFmtId="0" fontId="12" fillId="0" borderId="37" xfId="4" applyFont="1" applyBorder="1" applyAlignment="1">
      <alignment horizontal="center"/>
    </xf>
    <xf numFmtId="0" fontId="12" fillId="0" borderId="38" xfId="4" applyFont="1" applyBorder="1" applyAlignment="1">
      <alignment horizontal="center"/>
    </xf>
    <xf numFmtId="0" fontId="12" fillId="0" borderId="43" xfId="4" applyFont="1" applyBorder="1" applyAlignment="1">
      <alignment horizontal="center"/>
    </xf>
    <xf numFmtId="168" fontId="12" fillId="0" borderId="39" xfId="6" applyNumberFormat="1" applyFont="1" applyBorder="1"/>
    <xf numFmtId="168" fontId="12" fillId="0" borderId="0" xfId="6" applyNumberFormat="1" applyFont="1" applyBorder="1"/>
    <xf numFmtId="168" fontId="12" fillId="0" borderId="40" xfId="6" applyNumberFormat="1" applyFont="1" applyBorder="1"/>
    <xf numFmtId="0" fontId="21" fillId="0" borderId="43" xfId="4" applyFont="1" applyBorder="1" applyAlignment="1">
      <alignment horizontal="center"/>
    </xf>
    <xf numFmtId="168" fontId="21" fillId="0" borderId="41" xfId="6" applyNumberFormat="1" applyFont="1" applyBorder="1"/>
    <xf numFmtId="168" fontId="21" fillId="0" borderId="1" xfId="6" applyNumberFormat="1" applyFont="1" applyBorder="1"/>
    <xf numFmtId="168" fontId="21" fillId="0" borderId="42" xfId="6" applyNumberFormat="1" applyFont="1" applyBorder="1"/>
    <xf numFmtId="168" fontId="21" fillId="0" borderId="44" xfId="6" applyNumberFormat="1" applyFont="1" applyBorder="1"/>
    <xf numFmtId="168" fontId="21" fillId="0" borderId="7" xfId="6" applyNumberFormat="1" applyFont="1" applyBorder="1"/>
    <xf numFmtId="168" fontId="21" fillId="0" borderId="45" xfId="6" applyNumberFormat="1" applyFont="1" applyBorder="1"/>
    <xf numFmtId="3" fontId="21" fillId="0" borderId="44" xfId="6" applyNumberFormat="1" applyFont="1" applyBorder="1"/>
    <xf numFmtId="3" fontId="21" fillId="0" borderId="45" xfId="6" applyNumberFormat="1" applyFont="1" applyBorder="1"/>
    <xf numFmtId="0" fontId="12" fillId="0" borderId="0" xfId="4" applyFont="1" applyBorder="1" applyAlignment="1">
      <alignment horizontal="center"/>
    </xf>
    <xf numFmtId="0" fontId="12" fillId="0" borderId="8" xfId="4" applyFont="1" applyBorder="1" applyAlignment="1">
      <alignment horizontal="center"/>
    </xf>
    <xf numFmtId="168" fontId="12" fillId="0" borderId="8" xfId="6" applyNumberFormat="1" applyFont="1" applyBorder="1"/>
    <xf numFmtId="0" fontId="12" fillId="0" borderId="5" xfId="4" applyFont="1" applyBorder="1"/>
    <xf numFmtId="3" fontId="12" fillId="0" borderId="7" xfId="4" applyNumberFormat="1" applyFont="1" applyBorder="1"/>
    <xf numFmtId="3" fontId="12" fillId="0" borderId="17" xfId="4" applyNumberFormat="1" applyFont="1" applyBorder="1"/>
    <xf numFmtId="3" fontId="12" fillId="0" borderId="39" xfId="4" applyNumberFormat="1" applyFont="1" applyBorder="1"/>
    <xf numFmtId="3" fontId="12" fillId="0" borderId="40" xfId="4" applyNumberFormat="1" applyFont="1" applyBorder="1"/>
    <xf numFmtId="0" fontId="21" fillId="0" borderId="4" xfId="4" applyFont="1" applyBorder="1"/>
    <xf numFmtId="3" fontId="21" fillId="0" borderId="41" xfId="4" applyNumberFormat="1" applyFont="1" applyBorder="1"/>
    <xf numFmtId="3" fontId="21" fillId="0" borderId="1" xfId="4" applyNumberFormat="1" applyFont="1" applyBorder="1"/>
    <xf numFmtId="3" fontId="21" fillId="0" borderId="42" xfId="4" applyNumberFormat="1" applyFont="1" applyBorder="1"/>
    <xf numFmtId="167" fontId="12" fillId="0" borderId="7" xfId="4" applyNumberFormat="1" applyFont="1" applyBorder="1"/>
    <xf numFmtId="167" fontId="12" fillId="0" borderId="9" xfId="4" applyNumberFormat="1" applyFont="1" applyBorder="1"/>
    <xf numFmtId="0" fontId="12" fillId="0" borderId="17" xfId="4" applyFont="1" applyBorder="1"/>
    <xf numFmtId="0" fontId="12" fillId="0" borderId="46" xfId="4" applyFont="1" applyBorder="1"/>
    <xf numFmtId="9" fontId="12" fillId="0" borderId="27" xfId="4" applyNumberFormat="1" applyFont="1" applyBorder="1"/>
    <xf numFmtId="9" fontId="12" fillId="0" borderId="28" xfId="4" applyNumberFormat="1" applyFont="1" applyBorder="1"/>
    <xf numFmtId="9" fontId="12" fillId="0" borderId="29" xfId="4" applyNumberFormat="1" applyFont="1" applyBorder="1"/>
    <xf numFmtId="0" fontId="12" fillId="0" borderId="0" xfId="4" applyFont="1" applyBorder="1" applyAlignment="1"/>
    <xf numFmtId="0" fontId="12" fillId="0" borderId="23" xfId="4" applyFont="1" applyBorder="1"/>
    <xf numFmtId="167" fontId="12" fillId="0" borderId="44" xfId="4" applyNumberFormat="1" applyFont="1" applyBorder="1"/>
    <xf numFmtId="167" fontId="12" fillId="0" borderId="45" xfId="4" applyNumberFormat="1" applyFont="1" applyBorder="1"/>
    <xf numFmtId="167" fontId="12" fillId="0" borderId="7" xfId="6" applyNumberFormat="1" applyFont="1" applyBorder="1"/>
    <xf numFmtId="168" fontId="12" fillId="0" borderId="17" xfId="6" applyNumberFormat="1" applyFont="1" applyBorder="1"/>
    <xf numFmtId="168" fontId="12" fillId="0" borderId="49" xfId="6" applyNumberFormat="1" applyFont="1" applyBorder="1" applyAlignment="1">
      <alignment horizontal="center"/>
    </xf>
    <xf numFmtId="168" fontId="12" fillId="0" borderId="2" xfId="6" applyNumberFormat="1" applyFont="1" applyBorder="1" applyAlignment="1">
      <alignment horizontal="center"/>
    </xf>
    <xf numFmtId="168" fontId="12" fillId="0" borderId="16" xfId="6" applyNumberFormat="1" applyFont="1" applyBorder="1" applyAlignment="1">
      <alignment horizontal="center"/>
    </xf>
    <xf numFmtId="0" fontId="12" fillId="0" borderId="17" xfId="4" applyFont="1" applyBorder="1" applyAlignment="1">
      <alignment horizontal="center"/>
    </xf>
    <xf numFmtId="0" fontId="12" fillId="0" borderId="15" xfId="4" applyFont="1" applyBorder="1" applyAlignment="1">
      <alignment horizontal="center"/>
    </xf>
    <xf numFmtId="0" fontId="12" fillId="0" borderId="47" xfId="4" applyFont="1" applyBorder="1" applyAlignment="1">
      <alignment horizontal="center"/>
    </xf>
    <xf numFmtId="0" fontId="12" fillId="0" borderId="48" xfId="4" applyFont="1" applyBorder="1" applyAlignment="1">
      <alignment horizontal="center"/>
    </xf>
    <xf numFmtId="0" fontId="12" fillId="0" borderId="23" xfId="4" applyFont="1" applyBorder="1" applyAlignment="1">
      <alignment horizontal="center"/>
    </xf>
    <xf numFmtId="166" fontId="20" fillId="2" borderId="3" xfId="1" applyNumberFormat="1" applyFont="1" applyFill="1" applyBorder="1" applyAlignment="1">
      <alignment horizontal="center"/>
    </xf>
    <xf numFmtId="166" fontId="20" fillId="2" borderId="10" xfId="1" applyNumberFormat="1" applyFont="1" applyFill="1" applyBorder="1" applyAlignment="1">
      <alignment horizontal="center"/>
    </xf>
    <xf numFmtId="166" fontId="20" fillId="2" borderId="11" xfId="1" applyNumberFormat="1" applyFont="1" applyFill="1" applyBorder="1" applyAlignment="1">
      <alignment horizontal="center"/>
    </xf>
    <xf numFmtId="0" fontId="12" fillId="0" borderId="0" xfId="4" applyFont="1" applyAlignment="1">
      <alignment horizontal="center"/>
    </xf>
    <xf numFmtId="0" fontId="12" fillId="0" borderId="19" xfId="4" applyFont="1" applyBorder="1" applyAlignment="1">
      <alignment horizontal="center"/>
    </xf>
    <xf numFmtId="0" fontId="12" fillId="0" borderId="20" xfId="4" applyFont="1" applyBorder="1" applyAlignment="1">
      <alignment horizontal="center"/>
    </xf>
    <xf numFmtId="0" fontId="12" fillId="0" borderId="21" xfId="4" applyFont="1" applyBorder="1" applyAlignment="1">
      <alignment horizontal="center"/>
    </xf>
    <xf numFmtId="0" fontId="21" fillId="0" borderId="37" xfId="4" applyFont="1" applyBorder="1" applyAlignment="1">
      <alignment horizontal="center"/>
    </xf>
    <xf numFmtId="0" fontId="21" fillId="0" borderId="38" xfId="4" applyFont="1" applyBorder="1" applyAlignment="1">
      <alignment horizontal="center"/>
    </xf>
    <xf numFmtId="0" fontId="21" fillId="0" borderId="0" xfId="4" applyFont="1" applyBorder="1" applyAlignment="1">
      <alignment horizontal="center"/>
    </xf>
    <xf numFmtId="0" fontId="21" fillId="0" borderId="40" xfId="4" applyFont="1" applyBorder="1" applyAlignment="1">
      <alignment horizontal="center"/>
    </xf>
    <xf numFmtId="0" fontId="13" fillId="0" borderId="32" xfId="8" applyBorder="1" applyAlignment="1">
      <alignment horizontal="left"/>
    </xf>
    <xf numFmtId="0" fontId="13" fillId="0" borderId="16" xfId="8" applyBorder="1" applyAlignment="1">
      <alignment horizontal="left"/>
    </xf>
    <xf numFmtId="0" fontId="13" fillId="0" borderId="30" xfId="8" applyBorder="1" applyAlignment="1">
      <alignment horizontal="left"/>
    </xf>
    <xf numFmtId="0" fontId="13" fillId="0" borderId="31" xfId="8" applyBorder="1" applyAlignment="1">
      <alignment horizontal="left"/>
    </xf>
    <xf numFmtId="0" fontId="13" fillId="0" borderId="6" xfId="8" applyBorder="1" applyAlignment="1">
      <alignment horizontal="right"/>
    </xf>
    <xf numFmtId="0" fontId="13" fillId="0" borderId="13" xfId="8" applyBorder="1" applyAlignment="1">
      <alignment horizontal="right"/>
    </xf>
    <xf numFmtId="0" fontId="13" fillId="0" borderId="6" xfId="8" applyFill="1" applyBorder="1" applyAlignment="1">
      <alignment horizontal="center"/>
    </xf>
    <xf numFmtId="0" fontId="13" fillId="0" borderId="12" xfId="8" applyFill="1" applyBorder="1" applyAlignment="1">
      <alignment horizontal="center"/>
    </xf>
    <xf numFmtId="0" fontId="13" fillId="0" borderId="13" xfId="8" applyFill="1" applyBorder="1" applyAlignment="1">
      <alignment horizontal="center"/>
    </xf>
    <xf numFmtId="0" fontId="13" fillId="0" borderId="15" xfId="8" applyBorder="1" applyAlignment="1">
      <alignment horizontal="left"/>
    </xf>
    <xf numFmtId="0" fontId="13" fillId="0" borderId="33" xfId="8" applyBorder="1" applyAlignment="1">
      <alignment horizontal="left"/>
    </xf>
    <xf numFmtId="0" fontId="13" fillId="0" borderId="27" xfId="8" applyBorder="1" applyAlignment="1">
      <alignment horizontal="left"/>
    </xf>
    <xf numFmtId="0" fontId="13" fillId="0" borderId="28" xfId="8" applyBorder="1" applyAlignment="1">
      <alignment horizontal="left"/>
    </xf>
    <xf numFmtId="0" fontId="13" fillId="0" borderId="22" xfId="8" applyBorder="1" applyAlignment="1">
      <alignment horizontal="left"/>
    </xf>
    <xf numFmtId="0" fontId="13" fillId="0" borderId="17" xfId="8" applyBorder="1" applyAlignment="1">
      <alignment horizontal="left"/>
    </xf>
    <xf numFmtId="166" fontId="20" fillId="2" borderId="3" xfId="1" applyNumberFormat="1" applyFont="1" applyFill="1" applyBorder="1" applyAlignment="1">
      <alignment horizontal="center" vertical="center"/>
    </xf>
    <xf numFmtId="166" fontId="20" fillId="2" borderId="10" xfId="1" applyNumberFormat="1" applyFont="1" applyFill="1" applyBorder="1" applyAlignment="1">
      <alignment horizontal="center" vertical="center"/>
    </xf>
    <xf numFmtId="166" fontId="20" fillId="2" borderId="11" xfId="1" applyNumberFormat="1" applyFont="1" applyFill="1" applyBorder="1" applyAlignment="1">
      <alignment horizontal="center" vertical="center"/>
    </xf>
    <xf numFmtId="166" fontId="20" fillId="0" borderId="5" xfId="1" applyNumberFormat="1" applyFont="1" applyBorder="1" applyAlignment="1">
      <alignment horizontal="center"/>
    </xf>
    <xf numFmtId="166" fontId="20" fillId="0" borderId="7" xfId="1" applyNumberFormat="1" applyFont="1" applyBorder="1" applyAlignment="1">
      <alignment horizontal="center"/>
    </xf>
    <xf numFmtId="166" fontId="20" fillId="0" borderId="9" xfId="1" applyNumberFormat="1" applyFont="1" applyBorder="1" applyAlignment="1">
      <alignment horizontal="center"/>
    </xf>
    <xf numFmtId="166" fontId="17" fillId="0" borderId="1" xfId="1" applyNumberFormat="1" applyFont="1" applyBorder="1" applyAlignment="1">
      <alignment horizontal="center"/>
    </xf>
    <xf numFmtId="166" fontId="17" fillId="2" borderId="3" xfId="1" applyNumberFormat="1" applyFont="1" applyFill="1" applyBorder="1" applyAlignment="1">
      <alignment horizontal="center"/>
    </xf>
    <xf numFmtId="166" fontId="17" fillId="2" borderId="10" xfId="1" applyNumberFormat="1" applyFont="1" applyFill="1" applyBorder="1" applyAlignment="1">
      <alignment horizontal="center"/>
    </xf>
    <xf numFmtId="166" fontId="17" fillId="2" borderId="11" xfId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6" fontId="20" fillId="0" borderId="0" xfId="1" applyNumberFormat="1" applyFont="1" applyFill="1" applyBorder="1" applyAlignment="1">
      <alignment horizontal="center" vertical="center"/>
    </xf>
    <xf numFmtId="166" fontId="20" fillId="10" borderId="0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6" fontId="20" fillId="7" borderId="0" xfId="1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173" fontId="18" fillId="0" borderId="8" xfId="11" applyNumberFormat="1" applyFont="1" applyBorder="1"/>
    <xf numFmtId="173" fontId="20" fillId="0" borderId="8" xfId="11" applyNumberFormat="1" applyFont="1" applyBorder="1"/>
    <xf numFmtId="172" fontId="18" fillId="0" borderId="8" xfId="11" applyNumberFormat="1" applyFont="1" applyBorder="1"/>
    <xf numFmtId="172" fontId="20" fillId="0" borderId="8" xfId="11" applyNumberFormat="1" applyFont="1" applyBorder="1"/>
    <xf numFmtId="0" fontId="1" fillId="0" borderId="0" xfId="12"/>
    <xf numFmtId="0" fontId="22" fillId="0" borderId="0" xfId="12" applyFont="1"/>
    <xf numFmtId="0" fontId="24" fillId="0" borderId="0" xfId="12" applyFont="1" applyAlignment="1">
      <alignment horizontal="right"/>
    </xf>
    <xf numFmtId="0" fontId="24" fillId="0" borderId="0" xfId="12" applyFont="1"/>
    <xf numFmtId="0" fontId="1" fillId="0" borderId="0" xfId="12" applyAlignment="1">
      <alignment horizontal="right"/>
    </xf>
    <xf numFmtId="10" fontId="0" fillId="0" borderId="17" xfId="13" applyNumberFormat="1" applyFont="1" applyBorder="1"/>
    <xf numFmtId="0" fontId="1" fillId="0" borderId="0" xfId="12" applyFill="1" applyBorder="1" applyAlignment="1">
      <alignment horizontal="right"/>
    </xf>
    <xf numFmtId="9" fontId="1" fillId="0" borderId="0" xfId="12" applyNumberFormat="1"/>
    <xf numFmtId="9" fontId="23" fillId="0" borderId="0" xfId="13" applyFont="1"/>
    <xf numFmtId="2" fontId="1" fillId="0" borderId="0" xfId="12" applyNumberFormat="1"/>
    <xf numFmtId="4" fontId="1" fillId="0" borderId="0" xfId="12" applyNumberFormat="1"/>
    <xf numFmtId="164" fontId="0" fillId="0" borderId="0" xfId="15" applyFont="1"/>
    <xf numFmtId="179" fontId="0" fillId="0" borderId="0" xfId="13" applyNumberFormat="1" applyFont="1"/>
    <xf numFmtId="0" fontId="24" fillId="0" borderId="0" xfId="12" applyFont="1" applyAlignment="1">
      <alignment vertical="center"/>
    </xf>
    <xf numFmtId="0" fontId="1" fillId="0" borderId="0" xfId="12" applyAlignment="1">
      <alignment vertical="center"/>
    </xf>
    <xf numFmtId="0" fontId="25" fillId="0" borderId="17" xfId="12" applyFont="1" applyBorder="1" applyAlignment="1">
      <alignment vertical="center"/>
    </xf>
    <xf numFmtId="0" fontId="26" fillId="0" borderId="17" xfId="12" applyFont="1" applyBorder="1" applyAlignment="1">
      <alignment horizontal="center" vertical="center"/>
    </xf>
    <xf numFmtId="0" fontId="25" fillId="0" borderId="2" xfId="12" applyFont="1" applyBorder="1" applyAlignment="1">
      <alignment vertical="center"/>
    </xf>
    <xf numFmtId="0" fontId="1" fillId="0" borderId="2" xfId="12" applyBorder="1" applyAlignment="1">
      <alignment vertical="center"/>
    </xf>
    <xf numFmtId="180" fontId="25" fillId="0" borderId="17" xfId="15" applyNumberFormat="1" applyFont="1" applyBorder="1" applyAlignment="1">
      <alignment vertical="center"/>
    </xf>
    <xf numFmtId="0" fontId="25" fillId="0" borderId="0" xfId="12" applyFont="1" applyAlignment="1">
      <alignment vertical="center"/>
    </xf>
    <xf numFmtId="164" fontId="25" fillId="0" borderId="17" xfId="12" applyNumberFormat="1" applyFont="1" applyBorder="1" applyAlignment="1">
      <alignment vertical="center"/>
    </xf>
    <xf numFmtId="0" fontId="26" fillId="0" borderId="17" xfId="12" applyFont="1" applyBorder="1" applyAlignment="1">
      <alignment vertical="center"/>
    </xf>
    <xf numFmtId="180" fontId="25" fillId="0" borderId="17" xfId="12" applyNumberFormat="1" applyFont="1" applyBorder="1" applyAlignment="1">
      <alignment vertical="center"/>
    </xf>
    <xf numFmtId="179" fontId="25" fillId="0" borderId="17" xfId="13" applyNumberFormat="1" applyFont="1" applyBorder="1" applyAlignment="1">
      <alignment vertical="center"/>
    </xf>
    <xf numFmtId="10" fontId="25" fillId="0" borderId="17" xfId="13" applyNumberFormat="1" applyFont="1" applyBorder="1" applyAlignment="1">
      <alignment vertical="center"/>
    </xf>
    <xf numFmtId="170" fontId="25" fillId="0" borderId="17" xfId="15" applyNumberFormat="1" applyFont="1" applyBorder="1" applyAlignment="1">
      <alignment vertical="center"/>
    </xf>
    <xf numFmtId="170" fontId="25" fillId="0" borderId="0" xfId="12" applyNumberFormat="1" applyFont="1" applyAlignment="1">
      <alignment vertical="center"/>
    </xf>
    <xf numFmtId="170" fontId="25" fillId="0" borderId="17" xfId="12" applyNumberFormat="1" applyFont="1" applyBorder="1" applyAlignment="1">
      <alignment vertical="center"/>
    </xf>
    <xf numFmtId="170" fontId="1" fillId="0" borderId="0" xfId="12" applyNumberFormat="1" applyAlignment="1">
      <alignment vertical="center"/>
    </xf>
    <xf numFmtId="0" fontId="27" fillId="0" borderId="0" xfId="12" applyFont="1" applyAlignment="1">
      <alignment horizontal="center" vertical="center" wrapText="1"/>
    </xf>
    <xf numFmtId="0" fontId="1" fillId="0" borderId="0" xfId="12" applyFont="1" applyAlignment="1">
      <alignment vertical="center"/>
    </xf>
    <xf numFmtId="0" fontId="28" fillId="0" borderId="0" xfId="16"/>
    <xf numFmtId="166" fontId="28" fillId="0" borderId="0" xfId="16" applyNumberFormat="1" applyBorder="1"/>
    <xf numFmtId="10" fontId="1" fillId="0" borderId="17" xfId="12" applyNumberFormat="1" applyBorder="1"/>
    <xf numFmtId="166" fontId="1" fillId="0" borderId="17" xfId="1" applyNumberFormat="1" applyFont="1" applyBorder="1"/>
    <xf numFmtId="10" fontId="4" fillId="0" borderId="17" xfId="14" applyNumberFormat="1" applyFont="1" applyBorder="1"/>
    <xf numFmtId="9" fontId="0" fillId="0" borderId="0" xfId="17" applyNumberFormat="1" applyFont="1"/>
    <xf numFmtId="179" fontId="13" fillId="0" borderId="0" xfId="8" applyNumberFormat="1"/>
    <xf numFmtId="9" fontId="18" fillId="0" borderId="0" xfId="2" applyFont="1" applyBorder="1"/>
    <xf numFmtId="44" fontId="25" fillId="0" borderId="2" xfId="12" applyNumberFormat="1" applyFont="1" applyBorder="1" applyAlignment="1">
      <alignment vertical="center"/>
    </xf>
    <xf numFmtId="166" fontId="18" fillId="0" borderId="0" xfId="0" applyNumberFormat="1" applyFont="1"/>
    <xf numFmtId="9" fontId="25" fillId="0" borderId="17" xfId="2" applyFont="1" applyBorder="1" applyAlignment="1">
      <alignment vertical="center"/>
    </xf>
    <xf numFmtId="10" fontId="16" fillId="0" borderId="0" xfId="2" applyNumberFormat="1" applyFont="1"/>
    <xf numFmtId="0" fontId="16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183" fontId="18" fillId="0" borderId="0" xfId="1" applyNumberFormat="1" applyFont="1"/>
    <xf numFmtId="43" fontId="18" fillId="0" borderId="0" xfId="1" applyNumberFormat="1" applyFont="1"/>
    <xf numFmtId="177" fontId="18" fillId="0" borderId="0" xfId="1" applyNumberFormat="1" applyFont="1"/>
    <xf numFmtId="9" fontId="18" fillId="0" borderId="0" xfId="2" applyNumberFormat="1" applyFont="1"/>
    <xf numFmtId="172" fontId="18" fillId="0" borderId="0" xfId="11" applyNumberFormat="1" applyFont="1" applyBorder="1"/>
    <xf numFmtId="172" fontId="20" fillId="0" borderId="0" xfId="11" applyNumberFormat="1" applyFont="1" applyBorder="1"/>
    <xf numFmtId="172" fontId="12" fillId="0" borderId="0" xfId="11" applyNumberFormat="1" applyFont="1" applyFill="1" applyBorder="1" applyAlignment="1">
      <alignment horizontal="center" vertical="center"/>
    </xf>
    <xf numFmtId="172" fontId="12" fillId="5" borderId="0" xfId="11" applyNumberFormat="1" applyFont="1" applyFill="1" applyBorder="1" applyAlignment="1">
      <alignment horizontal="center" vertical="center"/>
    </xf>
    <xf numFmtId="172" fontId="20" fillId="5" borderId="0" xfId="11" applyNumberFormat="1" applyFont="1" applyFill="1" applyBorder="1"/>
    <xf numFmtId="172" fontId="18" fillId="0" borderId="0" xfId="11" applyNumberFormat="1" applyFont="1" applyFill="1" applyBorder="1"/>
    <xf numFmtId="172" fontId="21" fillId="0" borderId="0" xfId="11" applyNumberFormat="1" applyFont="1" applyFill="1" applyBorder="1"/>
    <xf numFmtId="0" fontId="18" fillId="0" borderId="0" xfId="0" applyFont="1" applyBorder="1" applyAlignment="1">
      <alignment horizontal="left"/>
    </xf>
    <xf numFmtId="172" fontId="16" fillId="0" borderId="0" xfId="11" applyNumberFormat="1" applyFont="1" applyBorder="1"/>
    <xf numFmtId="172" fontId="16" fillId="0" borderId="1" xfId="11" applyNumberFormat="1" applyFont="1" applyBorder="1"/>
    <xf numFmtId="172" fontId="17" fillId="0" borderId="7" xfId="11" applyNumberFormat="1" applyFont="1" applyBorder="1"/>
    <xf numFmtId="0" fontId="23" fillId="0" borderId="0" xfId="12" applyFont="1"/>
    <xf numFmtId="9" fontId="23" fillId="0" borderId="0" xfId="12" applyNumberFormat="1" applyFont="1"/>
    <xf numFmtId="171" fontId="23" fillId="0" borderId="0" xfId="2" applyNumberFormat="1" applyFont="1"/>
    <xf numFmtId="0" fontId="25" fillId="6" borderId="17" xfId="12" applyFont="1" applyFill="1" applyBorder="1" applyAlignment="1">
      <alignment vertical="center"/>
    </xf>
    <xf numFmtId="180" fontId="25" fillId="6" borderId="17" xfId="12" applyNumberFormat="1" applyFont="1" applyFill="1" applyBorder="1" applyAlignment="1">
      <alignment vertical="center"/>
    </xf>
    <xf numFmtId="180" fontId="1" fillId="0" borderId="0" xfId="12" applyNumberFormat="1" applyAlignment="1">
      <alignment vertical="center"/>
    </xf>
  </cellXfs>
  <cellStyles count="18">
    <cellStyle name="Hipervínculo" xfId="16" builtinId="8"/>
    <cellStyle name="Millares" xfId="1" builtinId="3"/>
    <cellStyle name="Millares 2" xfId="6"/>
    <cellStyle name="Millares 3" xfId="14"/>
    <cellStyle name="Moneda" xfId="11" builtinId="4"/>
    <cellStyle name="Moneda 2" xfId="7"/>
    <cellStyle name="Moneda 3" xfId="9"/>
    <cellStyle name="Moneda 4" xfId="15"/>
    <cellStyle name="Normal" xfId="0" builtinId="0"/>
    <cellStyle name="Normal 2" xfId="3"/>
    <cellStyle name="Normal 3" xfId="4"/>
    <cellStyle name="Normal 4" xfId="8"/>
    <cellStyle name="Normal 5" xfId="12"/>
    <cellStyle name="Porcentaje" xfId="2" builtinId="5"/>
    <cellStyle name="Porcentaje 2" xfId="5"/>
    <cellStyle name="Porcentaje 3" xfId="10"/>
    <cellStyle name="Porcentaje 4" xfId="13"/>
    <cellStyle name="Porcentual 2" xfId="17"/>
  </cellStyles>
  <dxfs count="0"/>
  <tableStyles count="0" defaultTableStyle="TableStyleMedium9" defaultPivotStyle="PivotStyleLight16"/>
  <colors>
    <mruColors>
      <color rgb="FF00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Estructura de Capital  proyectada</a:t>
            </a:r>
          </a:p>
        </c:rich>
      </c:tx>
      <c:layout>
        <c:manualLayout>
          <c:xMode val="edge"/>
          <c:yMode val="edge"/>
          <c:x val="0.17231366937290818"/>
          <c:y val="1.3888888888888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2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F7-46A0-92A9-635DBD89F8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F7-46A0-92A9-635DBD89F8E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WACC!$B$9:$B$10</c:f>
              <c:strCache>
                <c:ptCount val="2"/>
                <c:pt idx="0">
                  <c:v>Pasivo </c:v>
                </c:pt>
                <c:pt idx="1">
                  <c:v>Patrimonio </c:v>
                </c:pt>
              </c:strCache>
            </c:strRef>
          </c:cat>
          <c:val>
            <c:numRef>
              <c:f>WACC!$C$9:$C$10</c:f>
              <c:numCache>
                <c:formatCode>0%</c:formatCode>
                <c:ptCount val="2"/>
                <c:pt idx="0">
                  <c:v>0.27027027027027029</c:v>
                </c:pt>
                <c:pt idx="1">
                  <c:v>0.72972972972972971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1F7-46A0-92A9-635DBD89F8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361829</xdr:colOff>
      <xdr:row>12</xdr:row>
      <xdr:rowOff>34435</xdr:rowOff>
    </xdr:from>
    <xdr:to>
      <xdr:col>6</xdr:col>
      <xdr:colOff>658813</xdr:colOff>
      <xdr:row>26</xdr:row>
      <xdr:rowOff>110635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ller%20No%204%20%20Evaluaci&#243;n%20Financiera%20%20H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ller%20No%203%20A%20Evaluaci&#243;n%20Financi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CC"/>
    </sheetNames>
    <sheetDataSet>
      <sheetData sheetId="0">
        <row r="9">
          <cell r="B9" t="str">
            <v xml:space="preserve">Pasivo </v>
          </cell>
          <cell r="C9">
            <v>0.35</v>
          </cell>
        </row>
        <row r="10">
          <cell r="B10" t="str">
            <v xml:space="preserve">Patrimonio </v>
          </cell>
          <cell r="C10">
            <v>0.65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Criterios de Proyección"/>
      <sheetName val="VPN &amp; EVA (2)"/>
    </sheetNames>
    <sheetDataSet>
      <sheetData sheetId="0" refreshError="1"/>
      <sheetData sheetId="1">
        <row r="7">
          <cell r="B7">
            <v>0.3</v>
          </cell>
        </row>
        <row r="20">
          <cell r="G20">
            <v>180000</v>
          </cell>
        </row>
        <row r="21">
          <cell r="G21">
            <v>250000</v>
          </cell>
        </row>
        <row r="24">
          <cell r="G24">
            <v>6000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sobancaria.com/sabermassermas/conversion-de-tasas-de-interes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pages.stern.nyu.edu/~adamodar/New_Home_Page/datafile/roe.html" TargetMode="External"/><Relationship Id="rId2" Type="http://schemas.openxmlformats.org/officeDocument/2006/relationships/hyperlink" Target="http://pages.stern.nyu.edu/~adamodar/New_Home_Page/datafile/ctryprem.html" TargetMode="External"/><Relationship Id="rId1" Type="http://schemas.openxmlformats.org/officeDocument/2006/relationships/hyperlink" Target="http://www.banrep.gov.co/sites/default/files/Tasas_captacion_semanales.xl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W73"/>
  <sheetViews>
    <sheetView showGridLines="0" topLeftCell="A49" workbookViewId="0">
      <selection activeCell="Q54" sqref="Q54:T54"/>
    </sheetView>
  </sheetViews>
  <sheetFormatPr baseColWidth="10" defaultRowHeight="15.75" x14ac:dyDescent="0.25"/>
  <cols>
    <col min="1" max="1" width="19.28515625" style="22" customWidth="1"/>
    <col min="2" max="2" width="11.42578125" style="22"/>
    <col min="3" max="3" width="26.5703125" style="22" bestFit="1" customWidth="1"/>
    <col min="4" max="4" width="13.85546875" style="22" customWidth="1"/>
    <col min="5" max="7" width="7.28515625" style="22" customWidth="1"/>
    <col min="8" max="9" width="8.42578125" style="22" customWidth="1"/>
    <col min="10" max="12" width="9" style="22" bestFit="1" customWidth="1"/>
    <col min="13" max="14" width="10.140625" style="22" bestFit="1" customWidth="1"/>
    <col min="15" max="15" width="11.7109375" style="22" bestFit="1" customWidth="1"/>
    <col min="16" max="16" width="11.85546875" style="22" bestFit="1" customWidth="1"/>
    <col min="17" max="17" width="13" style="22" bestFit="1" customWidth="1"/>
    <col min="18" max="20" width="14.140625" style="22" bestFit="1" customWidth="1"/>
    <col min="21" max="21" width="12.7109375" style="22" bestFit="1" customWidth="1"/>
    <col min="22" max="16384" width="11.42578125" style="22"/>
  </cols>
  <sheetData>
    <row r="4" spans="1:21" ht="16.5" thickBot="1" x14ac:dyDescent="0.3"/>
    <row r="5" spans="1:21" x14ac:dyDescent="0.25">
      <c r="C5" s="231" t="s">
        <v>226</v>
      </c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3"/>
    </row>
    <row r="6" spans="1:21" ht="16.5" thickBot="1" x14ac:dyDescent="0.3">
      <c r="C6" s="154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6"/>
    </row>
    <row r="7" spans="1:21" x14ac:dyDescent="0.25">
      <c r="C7" s="154"/>
      <c r="D7" s="155"/>
      <c r="E7" s="155"/>
      <c r="F7" s="155"/>
      <c r="G7" s="155"/>
      <c r="H7" s="155"/>
      <c r="I7" s="235" t="s">
        <v>225</v>
      </c>
      <c r="J7" s="236"/>
      <c r="K7" s="236"/>
      <c r="L7" s="236"/>
      <c r="M7" s="236"/>
      <c r="N7" s="236"/>
      <c r="O7" s="237"/>
      <c r="P7" s="155"/>
      <c r="Q7" s="227" t="s">
        <v>234</v>
      </c>
      <c r="R7" s="228"/>
      <c r="S7" s="228"/>
      <c r="T7" s="229"/>
      <c r="U7" s="156"/>
    </row>
    <row r="8" spans="1:21" ht="16.5" thickBot="1" x14ac:dyDescent="0.3">
      <c r="C8" s="154"/>
      <c r="D8" s="155"/>
      <c r="E8" s="155"/>
      <c r="F8" s="155"/>
      <c r="G8" s="155"/>
      <c r="H8" s="155"/>
      <c r="I8" s="171">
        <v>0.01</v>
      </c>
      <c r="J8" s="172">
        <v>0.02</v>
      </c>
      <c r="K8" s="172">
        <v>0.04</v>
      </c>
      <c r="L8" s="172">
        <v>0.08</v>
      </c>
      <c r="M8" s="172">
        <v>0.16</v>
      </c>
      <c r="N8" s="172">
        <v>0.3</v>
      </c>
      <c r="O8" s="173">
        <f>1-SUM(I8:N8)</f>
        <v>0.3899999999999999</v>
      </c>
      <c r="P8" s="155"/>
      <c r="Q8" s="214">
        <v>0.2</v>
      </c>
      <c r="R8" s="215">
        <v>0.5</v>
      </c>
      <c r="S8" s="215">
        <v>1</v>
      </c>
      <c r="T8" s="216">
        <v>1</v>
      </c>
      <c r="U8" s="156"/>
    </row>
    <row r="9" spans="1:21" x14ac:dyDescent="0.25">
      <c r="C9" s="154"/>
      <c r="D9" s="238" t="s">
        <v>26</v>
      </c>
      <c r="E9" s="239"/>
      <c r="F9" s="239"/>
      <c r="G9" s="239"/>
      <c r="H9" s="239"/>
      <c r="I9" s="240"/>
      <c r="J9" s="240"/>
      <c r="K9" s="240"/>
      <c r="L9" s="240"/>
      <c r="M9" s="240"/>
      <c r="N9" s="240"/>
      <c r="O9" s="241"/>
      <c r="P9" s="155"/>
      <c r="Q9" s="155"/>
      <c r="R9" s="155"/>
      <c r="S9" s="155"/>
      <c r="T9" s="155"/>
      <c r="U9" s="156"/>
    </row>
    <row r="10" spans="1:21" ht="16.5" thickBot="1" x14ac:dyDescent="0.3">
      <c r="A10" s="167" t="s">
        <v>224</v>
      </c>
      <c r="C10" s="206" t="s">
        <v>125</v>
      </c>
      <c r="D10" s="176" t="s">
        <v>126</v>
      </c>
      <c r="E10" s="162" t="s">
        <v>127</v>
      </c>
      <c r="F10" s="162" t="s">
        <v>128</v>
      </c>
      <c r="G10" s="162" t="s">
        <v>129</v>
      </c>
      <c r="H10" s="162" t="s">
        <v>130</v>
      </c>
      <c r="I10" s="162" t="s">
        <v>131</v>
      </c>
      <c r="J10" s="162" t="s">
        <v>132</v>
      </c>
      <c r="K10" s="162" t="s">
        <v>133</v>
      </c>
      <c r="L10" s="162" t="s">
        <v>134</v>
      </c>
      <c r="M10" s="162" t="s">
        <v>135</v>
      </c>
      <c r="N10" s="162" t="s">
        <v>136</v>
      </c>
      <c r="O10" s="179" t="s">
        <v>137</v>
      </c>
      <c r="P10" s="160" t="s">
        <v>138</v>
      </c>
      <c r="Q10" s="162" t="s">
        <v>28</v>
      </c>
      <c r="R10" s="162" t="s">
        <v>27</v>
      </c>
      <c r="S10" s="162" t="s">
        <v>139</v>
      </c>
      <c r="T10" s="162" t="s">
        <v>140</v>
      </c>
      <c r="U10" s="161" t="s">
        <v>141</v>
      </c>
    </row>
    <row r="11" spans="1:21" x14ac:dyDescent="0.25">
      <c r="A11" s="168">
        <f>244500*0.4</f>
        <v>97800</v>
      </c>
      <c r="C11" s="154" t="s">
        <v>142</v>
      </c>
      <c r="D11" s="17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f>ROUND($A11*I$8,0)</f>
        <v>978</v>
      </c>
      <c r="J11" s="157">
        <f t="shared" ref="J11:O13" si="0">ROUND($A11*J$8,0)</f>
        <v>1956</v>
      </c>
      <c r="K11" s="157">
        <f t="shared" si="0"/>
        <v>3912</v>
      </c>
      <c r="L11" s="157">
        <f t="shared" si="0"/>
        <v>7824</v>
      </c>
      <c r="M11" s="157">
        <f t="shared" si="0"/>
        <v>15648</v>
      </c>
      <c r="N11" s="157">
        <f t="shared" si="0"/>
        <v>29340</v>
      </c>
      <c r="O11" s="178">
        <f t="shared" si="0"/>
        <v>38142</v>
      </c>
      <c r="P11" s="158">
        <f>SUM(D11:O11)</f>
        <v>97800</v>
      </c>
      <c r="Q11" s="158">
        <f>Q14*0.99</f>
        <v>117834.15599999999</v>
      </c>
      <c r="R11" s="158">
        <f>R14*0.99</f>
        <v>176751.23399999997</v>
      </c>
      <c r="S11" s="158">
        <f>S14*0.99</f>
        <v>353502.46799999994</v>
      </c>
      <c r="T11" s="158">
        <f>T14*0.99</f>
        <v>707004.93599999987</v>
      </c>
      <c r="U11" s="159">
        <f>SUM(P11:T11)</f>
        <v>1452892.7939999998</v>
      </c>
    </row>
    <row r="12" spans="1:21" x14ac:dyDescent="0.25">
      <c r="A12" s="169">
        <f>1500*0.9</f>
        <v>1350</v>
      </c>
      <c r="C12" s="154" t="s">
        <v>143</v>
      </c>
      <c r="D12" s="17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f>ROUND($A12*I$8,0)</f>
        <v>14</v>
      </c>
      <c r="J12" s="157">
        <f t="shared" si="0"/>
        <v>27</v>
      </c>
      <c r="K12" s="157">
        <f t="shared" si="0"/>
        <v>54</v>
      </c>
      <c r="L12" s="157">
        <f t="shared" si="0"/>
        <v>108</v>
      </c>
      <c r="M12" s="157">
        <f t="shared" si="0"/>
        <v>216</v>
      </c>
      <c r="N12" s="157">
        <f t="shared" si="0"/>
        <v>405</v>
      </c>
      <c r="O12" s="178">
        <f t="shared" si="0"/>
        <v>527</v>
      </c>
      <c r="P12" s="158">
        <f>SUM(D12:O12)</f>
        <v>1351</v>
      </c>
      <c r="Q12" s="158">
        <f>P63-Q11-Q13</f>
        <v>1118.2440000000061</v>
      </c>
      <c r="R12" s="158">
        <f>Q63-R11-R13</f>
        <v>1569.3660000000091</v>
      </c>
      <c r="S12" s="158">
        <f>R63-S11-S13</f>
        <v>2922.7320000000182</v>
      </c>
      <c r="T12" s="158">
        <f>S63-T11-T13</f>
        <v>5845.4640000000363</v>
      </c>
      <c r="U12" s="159">
        <f>SUM(P12:T12)</f>
        <v>12806.80600000007</v>
      </c>
    </row>
    <row r="13" spans="1:21" x14ac:dyDescent="0.25">
      <c r="A13" s="169">
        <v>36</v>
      </c>
      <c r="C13" s="154" t="s">
        <v>144</v>
      </c>
      <c r="D13" s="17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f>ROUND($A13*I$8,0)</f>
        <v>0</v>
      </c>
      <c r="J13" s="157">
        <f t="shared" si="0"/>
        <v>1</v>
      </c>
      <c r="K13" s="157">
        <f t="shared" si="0"/>
        <v>1</v>
      </c>
      <c r="L13" s="157">
        <f t="shared" si="0"/>
        <v>3</v>
      </c>
      <c r="M13" s="157">
        <f t="shared" si="0"/>
        <v>6</v>
      </c>
      <c r="N13" s="157">
        <f t="shared" si="0"/>
        <v>11</v>
      </c>
      <c r="O13" s="178">
        <f t="shared" si="0"/>
        <v>14</v>
      </c>
      <c r="P13" s="158">
        <f>ROUND(SUM(D13:O13),0)</f>
        <v>36</v>
      </c>
      <c r="Q13" s="158">
        <f>P13*2</f>
        <v>72</v>
      </c>
      <c r="R13" s="158">
        <f>Q13*3</f>
        <v>216</v>
      </c>
      <c r="S13" s="158">
        <f>R13*3</f>
        <v>648</v>
      </c>
      <c r="T13" s="158">
        <f>S13*2</f>
        <v>1296</v>
      </c>
      <c r="U13" s="159">
        <f>SUM(P13:T13)</f>
        <v>2268</v>
      </c>
    </row>
    <row r="14" spans="1:21" ht="16.5" thickBot="1" x14ac:dyDescent="0.3">
      <c r="A14" s="170">
        <f>SUM(A11:A13)</f>
        <v>99186</v>
      </c>
      <c r="C14" s="163" t="s">
        <v>145</v>
      </c>
      <c r="D14" s="196">
        <f t="shared" ref="D14:N14" si="1">SUM(D11:D13)</f>
        <v>0</v>
      </c>
      <c r="E14" s="164">
        <f t="shared" si="1"/>
        <v>0</v>
      </c>
      <c r="F14" s="164">
        <f t="shared" si="1"/>
        <v>0</v>
      </c>
      <c r="G14" s="164">
        <f t="shared" si="1"/>
        <v>0</v>
      </c>
      <c r="H14" s="164">
        <f t="shared" si="1"/>
        <v>0</v>
      </c>
      <c r="I14" s="164">
        <f>SUM(I11:I13)</f>
        <v>992</v>
      </c>
      <c r="J14" s="164">
        <f t="shared" si="1"/>
        <v>1984</v>
      </c>
      <c r="K14" s="164">
        <f t="shared" si="1"/>
        <v>3967</v>
      </c>
      <c r="L14" s="164">
        <f t="shared" si="1"/>
        <v>7935</v>
      </c>
      <c r="M14" s="164">
        <f t="shared" si="1"/>
        <v>15870</v>
      </c>
      <c r="N14" s="164">
        <f t="shared" si="1"/>
        <v>29756</v>
      </c>
      <c r="O14" s="197">
        <f t="shared" ref="O14:P14" si="2">SUM(O11:O13)</f>
        <v>38683</v>
      </c>
      <c r="P14" s="164">
        <f t="shared" si="2"/>
        <v>99187</v>
      </c>
      <c r="Q14" s="165">
        <f>P14*(1+Q8)</f>
        <v>119024.4</v>
      </c>
      <c r="R14" s="165">
        <f>Q14*(1+R8)</f>
        <v>178536.59999999998</v>
      </c>
      <c r="S14" s="165">
        <f>R14*(1+S8)</f>
        <v>357073.19999999995</v>
      </c>
      <c r="T14" s="165">
        <f>S14*(1+T8)</f>
        <v>714146.39999999991</v>
      </c>
      <c r="U14" s="166">
        <f>SUM(P14:T14)</f>
        <v>1467967.5999999999</v>
      </c>
    </row>
    <row r="15" spans="1:21" x14ac:dyDescent="0.25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21" ht="16.5" thickBot="1" x14ac:dyDescent="0.3"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21" x14ac:dyDescent="0.25">
      <c r="C17" s="231" t="s">
        <v>227</v>
      </c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3"/>
    </row>
    <row r="18" spans="1:21" x14ac:dyDescent="0.25">
      <c r="C18" s="154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55"/>
      <c r="Q18" s="155"/>
      <c r="R18" s="155"/>
      <c r="S18" s="155"/>
      <c r="T18" s="155"/>
      <c r="U18" s="156"/>
    </row>
    <row r="19" spans="1:21" ht="16.5" thickBot="1" x14ac:dyDescent="0.3">
      <c r="A19" s="167" t="s">
        <v>224</v>
      </c>
      <c r="C19" s="206" t="s">
        <v>125</v>
      </c>
      <c r="D19" s="174" t="s">
        <v>126</v>
      </c>
      <c r="E19" s="175" t="s">
        <v>127</v>
      </c>
      <c r="F19" s="175" t="s">
        <v>128</v>
      </c>
      <c r="G19" s="175" t="s">
        <v>129</v>
      </c>
      <c r="H19" s="175" t="s">
        <v>130</v>
      </c>
      <c r="I19" s="175" t="s">
        <v>131</v>
      </c>
      <c r="J19" s="175" t="s">
        <v>132</v>
      </c>
      <c r="K19" s="175" t="s">
        <v>133</v>
      </c>
      <c r="L19" s="175" t="s">
        <v>134</v>
      </c>
      <c r="M19" s="175" t="s">
        <v>135</v>
      </c>
      <c r="N19" s="175" t="s">
        <v>136</v>
      </c>
      <c r="O19" s="189" t="s">
        <v>137</v>
      </c>
      <c r="P19" s="160" t="s">
        <v>138</v>
      </c>
      <c r="Q19" s="162" t="s">
        <v>28</v>
      </c>
      <c r="R19" s="162" t="s">
        <v>27</v>
      </c>
      <c r="S19" s="162" t="s">
        <v>139</v>
      </c>
      <c r="T19" s="162" t="s">
        <v>140</v>
      </c>
      <c r="U19" s="161" t="s">
        <v>141</v>
      </c>
    </row>
    <row r="20" spans="1:21" x14ac:dyDescent="0.25">
      <c r="A20" s="168">
        <f>A11*0.6</f>
        <v>58680</v>
      </c>
      <c r="C20" s="154" t="s">
        <v>142</v>
      </c>
      <c r="D20" s="186">
        <v>0</v>
      </c>
      <c r="E20" s="187">
        <v>0</v>
      </c>
      <c r="F20" s="187">
        <v>0</v>
      </c>
      <c r="G20" s="187">
        <v>0</v>
      </c>
      <c r="H20" s="187">
        <v>0</v>
      </c>
      <c r="I20" s="187">
        <f>ROUND($A20*I$8,0)</f>
        <v>587</v>
      </c>
      <c r="J20" s="187">
        <f t="shared" ref="J20:O20" si="3">ROUND($A20*J$8,0)</f>
        <v>1174</v>
      </c>
      <c r="K20" s="187">
        <f t="shared" si="3"/>
        <v>2347</v>
      </c>
      <c r="L20" s="187">
        <f t="shared" si="3"/>
        <v>4694</v>
      </c>
      <c r="M20" s="187">
        <f t="shared" si="3"/>
        <v>9389</v>
      </c>
      <c r="N20" s="187">
        <f t="shared" si="3"/>
        <v>17604</v>
      </c>
      <c r="O20" s="188">
        <f t="shared" si="3"/>
        <v>22885</v>
      </c>
      <c r="P20" s="158">
        <f>SUM(D20:O20)</f>
        <v>58680</v>
      </c>
      <c r="Q20" s="158">
        <f>Q23*0.99</f>
        <v>70396.127999999997</v>
      </c>
      <c r="R20" s="158">
        <f>R23*0.99</f>
        <v>105594.19199999998</v>
      </c>
      <c r="S20" s="158">
        <f>S23*0.99</f>
        <v>211188.38399999996</v>
      </c>
      <c r="T20" s="158">
        <f>T23*0.99</f>
        <v>422376.76799999992</v>
      </c>
      <c r="U20" s="159">
        <f>SUM(P20:T20)</f>
        <v>868235.47199999983</v>
      </c>
    </row>
    <row r="21" spans="1:21" x14ac:dyDescent="0.25">
      <c r="A21" s="169">
        <f>A12*0.4</f>
        <v>540</v>
      </c>
      <c r="C21" s="154" t="s">
        <v>143</v>
      </c>
      <c r="D21" s="186">
        <v>0</v>
      </c>
      <c r="E21" s="187">
        <v>0</v>
      </c>
      <c r="F21" s="187">
        <v>0</v>
      </c>
      <c r="G21" s="187">
        <v>0</v>
      </c>
      <c r="H21" s="187">
        <v>0</v>
      </c>
      <c r="I21" s="187">
        <f t="shared" ref="I21:O22" si="4">ROUND($A21*I$8,0)</f>
        <v>5</v>
      </c>
      <c r="J21" s="187">
        <f t="shared" si="4"/>
        <v>11</v>
      </c>
      <c r="K21" s="187">
        <f t="shared" si="4"/>
        <v>22</v>
      </c>
      <c r="L21" s="187">
        <f t="shared" si="4"/>
        <v>43</v>
      </c>
      <c r="M21" s="187">
        <f t="shared" si="4"/>
        <v>86</v>
      </c>
      <c r="N21" s="187">
        <f t="shared" si="4"/>
        <v>162</v>
      </c>
      <c r="O21" s="188">
        <f t="shared" si="4"/>
        <v>211</v>
      </c>
      <c r="P21" s="158">
        <f>SUM(D21:O21)</f>
        <v>540</v>
      </c>
      <c r="Q21" s="158">
        <f>Q23-Q20-Q22</f>
        <v>639.07200000000012</v>
      </c>
      <c r="R21" s="158">
        <f>R23-R20-R22</f>
        <v>850.60800000000745</v>
      </c>
      <c r="S21" s="158">
        <f>S23-S20-S22</f>
        <v>1485.2160000000149</v>
      </c>
      <c r="T21" s="158">
        <f>T23-T20-T22</f>
        <v>2970.4320000000298</v>
      </c>
      <c r="U21" s="159">
        <f>SUM(P21:T21)</f>
        <v>6485.3280000000523</v>
      </c>
    </row>
    <row r="22" spans="1:21" x14ac:dyDescent="0.25">
      <c r="A22" s="169">
        <v>36</v>
      </c>
      <c r="C22" s="154" t="s">
        <v>144</v>
      </c>
      <c r="D22" s="186">
        <v>0</v>
      </c>
      <c r="E22" s="187">
        <v>0</v>
      </c>
      <c r="F22" s="187">
        <v>0</v>
      </c>
      <c r="G22" s="187">
        <v>0</v>
      </c>
      <c r="H22" s="187">
        <v>0</v>
      </c>
      <c r="I22" s="187">
        <f t="shared" si="4"/>
        <v>0</v>
      </c>
      <c r="J22" s="187">
        <f t="shared" si="4"/>
        <v>1</v>
      </c>
      <c r="K22" s="187">
        <f t="shared" si="4"/>
        <v>1</v>
      </c>
      <c r="L22" s="187">
        <f t="shared" si="4"/>
        <v>3</v>
      </c>
      <c r="M22" s="187">
        <f t="shared" si="4"/>
        <v>6</v>
      </c>
      <c r="N22" s="187">
        <f t="shared" si="4"/>
        <v>11</v>
      </c>
      <c r="O22" s="188">
        <f t="shared" si="4"/>
        <v>14</v>
      </c>
      <c r="P22" s="158">
        <f>SUM(D22:O22)</f>
        <v>36</v>
      </c>
      <c r="Q22" s="158">
        <f>Q13</f>
        <v>72</v>
      </c>
      <c r="R22" s="158">
        <f>R13</f>
        <v>216</v>
      </c>
      <c r="S22" s="158">
        <f>S13</f>
        <v>648</v>
      </c>
      <c r="T22" s="158">
        <f>T13</f>
        <v>1296</v>
      </c>
      <c r="U22" s="159">
        <f>SUM(P22:T22)</f>
        <v>2268</v>
      </c>
    </row>
    <row r="23" spans="1:21" ht="16.5" thickBot="1" x14ac:dyDescent="0.3">
      <c r="A23" s="170">
        <f>SUM(A20:A22)</f>
        <v>59256</v>
      </c>
      <c r="C23" s="163" t="s">
        <v>145</v>
      </c>
      <c r="D23" s="193">
        <f t="shared" ref="D23:P23" si="5">SUM(D20:D22)</f>
        <v>0</v>
      </c>
      <c r="E23" s="194">
        <f t="shared" si="5"/>
        <v>0</v>
      </c>
      <c r="F23" s="194">
        <f t="shared" si="5"/>
        <v>0</v>
      </c>
      <c r="G23" s="194">
        <f t="shared" si="5"/>
        <v>0</v>
      </c>
      <c r="H23" s="194">
        <f t="shared" si="5"/>
        <v>0</v>
      </c>
      <c r="I23" s="194">
        <f t="shared" si="5"/>
        <v>592</v>
      </c>
      <c r="J23" s="194">
        <f t="shared" si="5"/>
        <v>1186</v>
      </c>
      <c r="K23" s="194">
        <f t="shared" si="5"/>
        <v>2370</v>
      </c>
      <c r="L23" s="194">
        <f t="shared" si="5"/>
        <v>4740</v>
      </c>
      <c r="M23" s="194">
        <f t="shared" si="5"/>
        <v>9481</v>
      </c>
      <c r="N23" s="194">
        <f t="shared" si="5"/>
        <v>17777</v>
      </c>
      <c r="O23" s="195">
        <f t="shared" si="5"/>
        <v>23110</v>
      </c>
      <c r="P23" s="165">
        <f t="shared" si="5"/>
        <v>59256</v>
      </c>
      <c r="Q23" s="165">
        <f>P23*1.2</f>
        <v>71107.199999999997</v>
      </c>
      <c r="R23" s="165">
        <f>Q23*1.5</f>
        <v>106660.79999999999</v>
      </c>
      <c r="S23" s="165">
        <f>R23*2</f>
        <v>213321.59999999998</v>
      </c>
      <c r="T23" s="165">
        <f>S23*2</f>
        <v>426643.19999999995</v>
      </c>
      <c r="U23" s="166">
        <f>SUM(P23:T23)</f>
        <v>876988.79999999993</v>
      </c>
    </row>
    <row r="24" spans="1:21" x14ac:dyDescent="0.25"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21" ht="16.5" thickBot="1" x14ac:dyDescent="0.3"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21" x14ac:dyDescent="0.25">
      <c r="C26" s="231" t="s">
        <v>228</v>
      </c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3"/>
    </row>
    <row r="27" spans="1:21" x14ac:dyDescent="0.25">
      <c r="C27" s="154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55"/>
      <c r="Q27" s="155"/>
      <c r="R27" s="155"/>
      <c r="S27" s="156"/>
    </row>
    <row r="28" spans="1:21" x14ac:dyDescent="0.25">
      <c r="C28" s="206" t="s">
        <v>125</v>
      </c>
      <c r="D28" s="174" t="s">
        <v>126</v>
      </c>
      <c r="E28" s="175" t="s">
        <v>127</v>
      </c>
      <c r="F28" s="175" t="s">
        <v>128</v>
      </c>
      <c r="G28" s="175" t="s">
        <v>129</v>
      </c>
      <c r="H28" s="175" t="s">
        <v>130</v>
      </c>
      <c r="I28" s="175" t="s">
        <v>131</v>
      </c>
      <c r="J28" s="175" t="s">
        <v>132</v>
      </c>
      <c r="K28" s="175" t="s">
        <v>133</v>
      </c>
      <c r="L28" s="175" t="s">
        <v>134</v>
      </c>
      <c r="M28" s="175" t="s">
        <v>135</v>
      </c>
      <c r="N28" s="189" t="s">
        <v>136</v>
      </c>
      <c r="O28" s="160" t="s">
        <v>138</v>
      </c>
      <c r="P28" s="162" t="s">
        <v>28</v>
      </c>
      <c r="Q28" s="162" t="s">
        <v>27</v>
      </c>
      <c r="R28" s="162" t="s">
        <v>139</v>
      </c>
      <c r="S28" s="161" t="s">
        <v>140</v>
      </c>
      <c r="T28" s="108"/>
    </row>
    <row r="29" spans="1:21" x14ac:dyDescent="0.25">
      <c r="C29" s="154" t="s">
        <v>142</v>
      </c>
      <c r="D29" s="186">
        <f>D11</f>
        <v>0</v>
      </c>
      <c r="E29" s="187">
        <f>D29+E11</f>
        <v>0</v>
      </c>
      <c r="F29" s="187">
        <f t="shared" ref="F29:O29" si="6">E29+F11</f>
        <v>0</v>
      </c>
      <c r="G29" s="187">
        <f t="shared" si="6"/>
        <v>0</v>
      </c>
      <c r="H29" s="187">
        <f t="shared" si="6"/>
        <v>0</v>
      </c>
      <c r="I29" s="187">
        <f t="shared" si="6"/>
        <v>978</v>
      </c>
      <c r="J29" s="187">
        <f t="shared" si="6"/>
        <v>2934</v>
      </c>
      <c r="K29" s="187">
        <f t="shared" si="6"/>
        <v>6846</v>
      </c>
      <c r="L29" s="187">
        <f t="shared" si="6"/>
        <v>14670</v>
      </c>
      <c r="M29" s="187">
        <f t="shared" si="6"/>
        <v>30318</v>
      </c>
      <c r="N29" s="188">
        <f t="shared" si="6"/>
        <v>59658</v>
      </c>
      <c r="O29" s="187">
        <f t="shared" si="6"/>
        <v>97800</v>
      </c>
      <c r="P29" s="187">
        <f t="shared" ref="P29:S31" si="7">O29+Q11</f>
        <v>215634.15599999999</v>
      </c>
      <c r="Q29" s="187">
        <f t="shared" si="7"/>
        <v>392385.38999999996</v>
      </c>
      <c r="R29" s="187">
        <f t="shared" si="7"/>
        <v>745887.85799999989</v>
      </c>
      <c r="S29" s="200">
        <f t="shared" si="7"/>
        <v>1452892.7939999998</v>
      </c>
      <c r="T29" s="25"/>
    </row>
    <row r="30" spans="1:21" x14ac:dyDescent="0.25">
      <c r="C30" s="154" t="s">
        <v>143</v>
      </c>
      <c r="D30" s="186">
        <f>D12</f>
        <v>0</v>
      </c>
      <c r="E30" s="187">
        <f>D30+E12</f>
        <v>0</v>
      </c>
      <c r="F30" s="187">
        <f t="shared" ref="F30:O30" si="8">E30+F12</f>
        <v>0</v>
      </c>
      <c r="G30" s="187">
        <f t="shared" si="8"/>
        <v>0</v>
      </c>
      <c r="H30" s="187">
        <f t="shared" si="8"/>
        <v>0</v>
      </c>
      <c r="I30" s="187">
        <f t="shared" si="8"/>
        <v>14</v>
      </c>
      <c r="J30" s="187">
        <f t="shared" si="8"/>
        <v>41</v>
      </c>
      <c r="K30" s="187">
        <f t="shared" si="8"/>
        <v>95</v>
      </c>
      <c r="L30" s="187">
        <f t="shared" si="8"/>
        <v>203</v>
      </c>
      <c r="M30" s="187">
        <f t="shared" si="8"/>
        <v>419</v>
      </c>
      <c r="N30" s="188">
        <f t="shared" si="8"/>
        <v>824</v>
      </c>
      <c r="O30" s="187">
        <f t="shared" si="8"/>
        <v>1351</v>
      </c>
      <c r="P30" s="187">
        <f t="shared" si="7"/>
        <v>2469.2440000000061</v>
      </c>
      <c r="Q30" s="187">
        <f t="shared" si="7"/>
        <v>4038.6100000000151</v>
      </c>
      <c r="R30" s="187">
        <f t="shared" si="7"/>
        <v>6961.3420000000333</v>
      </c>
      <c r="S30" s="200">
        <f t="shared" si="7"/>
        <v>12806.80600000007</v>
      </c>
      <c r="T30" s="25"/>
    </row>
    <row r="31" spans="1:21" x14ac:dyDescent="0.25">
      <c r="C31" s="154" t="s">
        <v>144</v>
      </c>
      <c r="D31" s="186">
        <f>D13</f>
        <v>0</v>
      </c>
      <c r="E31" s="187">
        <f>D31+E13</f>
        <v>0</v>
      </c>
      <c r="F31" s="187">
        <f t="shared" ref="F31:O31" si="9">E31+F13</f>
        <v>0</v>
      </c>
      <c r="G31" s="187">
        <f t="shared" si="9"/>
        <v>0</v>
      </c>
      <c r="H31" s="187">
        <f t="shared" si="9"/>
        <v>0</v>
      </c>
      <c r="I31" s="187">
        <f t="shared" si="9"/>
        <v>0</v>
      </c>
      <c r="J31" s="187">
        <f t="shared" si="9"/>
        <v>1</v>
      </c>
      <c r="K31" s="187">
        <f t="shared" si="9"/>
        <v>2</v>
      </c>
      <c r="L31" s="187">
        <f t="shared" si="9"/>
        <v>5</v>
      </c>
      <c r="M31" s="187">
        <f t="shared" si="9"/>
        <v>11</v>
      </c>
      <c r="N31" s="188">
        <f t="shared" si="9"/>
        <v>22</v>
      </c>
      <c r="O31" s="187">
        <f t="shared" si="9"/>
        <v>36</v>
      </c>
      <c r="P31" s="187">
        <f t="shared" si="7"/>
        <v>108</v>
      </c>
      <c r="Q31" s="187">
        <f t="shared" si="7"/>
        <v>324</v>
      </c>
      <c r="R31" s="187">
        <f t="shared" si="7"/>
        <v>972</v>
      </c>
      <c r="S31" s="200">
        <f t="shared" si="7"/>
        <v>2268</v>
      </c>
      <c r="T31" s="25"/>
    </row>
    <row r="32" spans="1:21" ht="16.5" thickBot="1" x14ac:dyDescent="0.3">
      <c r="C32" s="163" t="s">
        <v>145</v>
      </c>
      <c r="D32" s="190">
        <f t="shared" ref="D32:S32" si="10">SUM(D29:D31)</f>
        <v>0</v>
      </c>
      <c r="E32" s="191">
        <f t="shared" si="10"/>
        <v>0</v>
      </c>
      <c r="F32" s="191">
        <f t="shared" si="10"/>
        <v>0</v>
      </c>
      <c r="G32" s="191">
        <f t="shared" si="10"/>
        <v>0</v>
      </c>
      <c r="H32" s="191">
        <f t="shared" si="10"/>
        <v>0</v>
      </c>
      <c r="I32" s="191">
        <f t="shared" si="10"/>
        <v>992</v>
      </c>
      <c r="J32" s="191">
        <f t="shared" si="10"/>
        <v>2976</v>
      </c>
      <c r="K32" s="191">
        <f t="shared" si="10"/>
        <v>6943</v>
      </c>
      <c r="L32" s="191">
        <f t="shared" si="10"/>
        <v>14878</v>
      </c>
      <c r="M32" s="191">
        <f t="shared" si="10"/>
        <v>30748</v>
      </c>
      <c r="N32" s="192">
        <f t="shared" si="10"/>
        <v>60504</v>
      </c>
      <c r="O32" s="165">
        <f t="shared" si="10"/>
        <v>99187</v>
      </c>
      <c r="P32" s="165">
        <f t="shared" si="10"/>
        <v>218211.4</v>
      </c>
      <c r="Q32" s="165">
        <f t="shared" si="10"/>
        <v>396748</v>
      </c>
      <c r="R32" s="165">
        <f t="shared" si="10"/>
        <v>753821.2</v>
      </c>
      <c r="S32" s="166">
        <f t="shared" si="10"/>
        <v>1467967.5999999999</v>
      </c>
      <c r="T32" s="25"/>
    </row>
    <row r="33" spans="1:23" x14ac:dyDescent="0.25"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23" ht="16.5" thickBot="1" x14ac:dyDescent="0.3"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23" x14ac:dyDescent="0.25">
      <c r="C35" s="231" t="s">
        <v>229</v>
      </c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3"/>
    </row>
    <row r="36" spans="1:23" x14ac:dyDescent="0.25">
      <c r="C36" s="154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55"/>
      <c r="Q36" s="155"/>
      <c r="R36" s="155"/>
      <c r="S36" s="156"/>
    </row>
    <row r="37" spans="1:23" x14ac:dyDescent="0.25">
      <c r="C37" s="154"/>
      <c r="D37" s="174" t="s">
        <v>126</v>
      </c>
      <c r="E37" s="175" t="s">
        <v>127</v>
      </c>
      <c r="F37" s="175" t="s">
        <v>128</v>
      </c>
      <c r="G37" s="175" t="s">
        <v>129</v>
      </c>
      <c r="H37" s="175" t="s">
        <v>130</v>
      </c>
      <c r="I37" s="175" t="s">
        <v>131</v>
      </c>
      <c r="J37" s="175" t="s">
        <v>132</v>
      </c>
      <c r="K37" s="175" t="s">
        <v>133</v>
      </c>
      <c r="L37" s="175" t="s">
        <v>134</v>
      </c>
      <c r="M37" s="175" t="s">
        <v>135</v>
      </c>
      <c r="N37" s="189" t="s">
        <v>136</v>
      </c>
      <c r="O37" s="162" t="s">
        <v>138</v>
      </c>
      <c r="P37" s="162" t="s">
        <v>28</v>
      </c>
      <c r="Q37" s="162" t="s">
        <v>27</v>
      </c>
      <c r="R37" s="162" t="s">
        <v>139</v>
      </c>
      <c r="S37" s="161" t="s">
        <v>140</v>
      </c>
    </row>
    <row r="38" spans="1:23" x14ac:dyDescent="0.25">
      <c r="C38" s="154" t="s">
        <v>146</v>
      </c>
      <c r="D38" s="204">
        <f>D23</f>
        <v>0</v>
      </c>
      <c r="E38" s="158">
        <f t="shared" ref="E38:J38" si="11">E40-E39</f>
        <v>0</v>
      </c>
      <c r="F38" s="158">
        <f t="shared" si="11"/>
        <v>0</v>
      </c>
      <c r="G38" s="158">
        <f t="shared" si="11"/>
        <v>0</v>
      </c>
      <c r="H38" s="158">
        <f t="shared" si="11"/>
        <v>0</v>
      </c>
      <c r="I38" s="158">
        <f t="shared" si="11"/>
        <v>400</v>
      </c>
      <c r="J38" s="158">
        <f t="shared" si="11"/>
        <v>1198</v>
      </c>
      <c r="K38" s="158">
        <f t="shared" ref="K38:S38" si="12">K40-K39</f>
        <v>2795</v>
      </c>
      <c r="L38" s="158">
        <f t="shared" si="12"/>
        <v>5990</v>
      </c>
      <c r="M38" s="158">
        <f t="shared" si="12"/>
        <v>12379</v>
      </c>
      <c r="N38" s="205">
        <f t="shared" si="12"/>
        <v>24358</v>
      </c>
      <c r="O38" s="158">
        <f t="shared" si="12"/>
        <v>39931</v>
      </c>
      <c r="P38" s="158">
        <f t="shared" si="12"/>
        <v>87848.2</v>
      </c>
      <c r="Q38" s="158">
        <f t="shared" si="12"/>
        <v>159724</v>
      </c>
      <c r="R38" s="158">
        <f t="shared" si="12"/>
        <v>303475.59999999998</v>
      </c>
      <c r="S38" s="159">
        <f t="shared" si="12"/>
        <v>590978.79999999993</v>
      </c>
    </row>
    <row r="39" spans="1:23" x14ac:dyDescent="0.25">
      <c r="C39" s="154" t="s">
        <v>147</v>
      </c>
      <c r="D39" s="204">
        <f>D40-D38</f>
        <v>0</v>
      </c>
      <c r="E39" s="158">
        <f>E69+D39</f>
        <v>0</v>
      </c>
      <c r="F39" s="158">
        <f>F69+E39</f>
        <v>0</v>
      </c>
      <c r="G39" s="158">
        <f>G69+F39</f>
        <v>0</v>
      </c>
      <c r="H39" s="158">
        <f>H69+G39</f>
        <v>0</v>
      </c>
      <c r="I39" s="158">
        <f t="shared" ref="I39:O39" si="13">I23+H39</f>
        <v>592</v>
      </c>
      <c r="J39" s="158">
        <f t="shared" si="13"/>
        <v>1778</v>
      </c>
      <c r="K39" s="158">
        <f t="shared" si="13"/>
        <v>4148</v>
      </c>
      <c r="L39" s="158">
        <f t="shared" si="13"/>
        <v>8888</v>
      </c>
      <c r="M39" s="158">
        <f t="shared" si="13"/>
        <v>18369</v>
      </c>
      <c r="N39" s="205">
        <f t="shared" si="13"/>
        <v>36146</v>
      </c>
      <c r="O39" s="158">
        <f t="shared" si="13"/>
        <v>59256</v>
      </c>
      <c r="P39" s="158">
        <f>Q23+O39</f>
        <v>130363.2</v>
      </c>
      <c r="Q39" s="158">
        <f>R23+P39</f>
        <v>237024</v>
      </c>
      <c r="R39" s="158">
        <f>S23+Q39</f>
        <v>450345.6</v>
      </c>
      <c r="S39" s="159">
        <f>T23+R39</f>
        <v>876988.79999999993</v>
      </c>
    </row>
    <row r="40" spans="1:23" ht="16.5" thickBot="1" x14ac:dyDescent="0.3">
      <c r="C40" s="163" t="s">
        <v>145</v>
      </c>
      <c r="D40" s="207">
        <f>D14</f>
        <v>0</v>
      </c>
      <c r="E40" s="208">
        <f>E63+D40</f>
        <v>0</v>
      </c>
      <c r="F40" s="208">
        <f>F63+E40</f>
        <v>0</v>
      </c>
      <c r="G40" s="208">
        <f>G63+F40</f>
        <v>0</v>
      </c>
      <c r="H40" s="208">
        <f>H63+G40</f>
        <v>0</v>
      </c>
      <c r="I40" s="208">
        <f t="shared" ref="I40:O40" si="14">I14+H40</f>
        <v>992</v>
      </c>
      <c r="J40" s="208">
        <f t="shared" si="14"/>
        <v>2976</v>
      </c>
      <c r="K40" s="208">
        <f t="shared" si="14"/>
        <v>6943</v>
      </c>
      <c r="L40" s="208">
        <f t="shared" si="14"/>
        <v>14878</v>
      </c>
      <c r="M40" s="208">
        <f t="shared" si="14"/>
        <v>30748</v>
      </c>
      <c r="N40" s="209">
        <f t="shared" si="14"/>
        <v>60504</v>
      </c>
      <c r="O40" s="165">
        <f t="shared" si="14"/>
        <v>99187</v>
      </c>
      <c r="P40" s="165">
        <f>Q14+O40</f>
        <v>218211.4</v>
      </c>
      <c r="Q40" s="165">
        <f>R14+P40</f>
        <v>396748</v>
      </c>
      <c r="R40" s="165">
        <f>S14+Q40</f>
        <v>753821.2</v>
      </c>
      <c r="S40" s="166">
        <f>T14+R40</f>
        <v>1467967.5999999999</v>
      </c>
    </row>
    <row r="42" spans="1:23" ht="16.5" thickBot="1" x14ac:dyDescent="0.3"/>
    <row r="43" spans="1:23" x14ac:dyDescent="0.25">
      <c r="A43" s="168" t="s">
        <v>232</v>
      </c>
      <c r="C43" s="231" t="s">
        <v>230</v>
      </c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3"/>
    </row>
    <row r="44" spans="1:23" ht="16.5" thickBot="1" x14ac:dyDescent="0.3">
      <c r="A44" s="170">
        <v>2</v>
      </c>
      <c r="C44" s="154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6"/>
    </row>
    <row r="45" spans="1:23" ht="16.5" thickBot="1" x14ac:dyDescent="0.3">
      <c r="A45" s="213"/>
      <c r="C45" s="154"/>
      <c r="D45" s="155"/>
      <c r="E45" s="155"/>
      <c r="F45" s="155"/>
      <c r="G45" s="155"/>
      <c r="H45" s="155"/>
      <c r="I45" s="226" t="s">
        <v>233</v>
      </c>
      <c r="J45" s="226"/>
      <c r="K45" s="226"/>
      <c r="L45" s="226"/>
      <c r="M45" s="226"/>
      <c r="N45" s="226"/>
      <c r="O45" s="226"/>
      <c r="P45" s="155"/>
      <c r="Q45" s="226" t="s">
        <v>233</v>
      </c>
      <c r="R45" s="226"/>
      <c r="S45" s="226"/>
      <c r="T45" s="230"/>
      <c r="U45" s="217"/>
      <c r="V45" s="217"/>
      <c r="W45" s="217"/>
    </row>
    <row r="46" spans="1:23" x14ac:dyDescent="0.25">
      <c r="A46" s="168" t="s">
        <v>231</v>
      </c>
      <c r="C46" s="154"/>
      <c r="D46" s="155"/>
      <c r="E46" s="155"/>
      <c r="F46" s="155"/>
      <c r="G46" s="155"/>
      <c r="H46" s="155"/>
      <c r="I46" s="212">
        <v>4</v>
      </c>
      <c r="J46" s="212">
        <v>4</v>
      </c>
      <c r="K46" s="212">
        <v>4</v>
      </c>
      <c r="L46" s="212">
        <v>4</v>
      </c>
      <c r="M46" s="212">
        <v>4</v>
      </c>
      <c r="N46" s="212">
        <v>4</v>
      </c>
      <c r="O46" s="212">
        <v>4</v>
      </c>
      <c r="P46" s="155"/>
      <c r="Q46" s="212">
        <v>52</v>
      </c>
      <c r="R46" s="212">
        <v>52</v>
      </c>
      <c r="S46" s="203">
        <v>52</v>
      </c>
      <c r="T46" s="218">
        <v>52</v>
      </c>
    </row>
    <row r="47" spans="1:23" ht="16.5" thickBot="1" x14ac:dyDescent="0.3">
      <c r="A47" s="170">
        <v>0.09</v>
      </c>
      <c r="C47" s="154"/>
      <c r="D47" s="183" t="s">
        <v>126</v>
      </c>
      <c r="E47" s="184" t="s">
        <v>127</v>
      </c>
      <c r="F47" s="184" t="s">
        <v>128</v>
      </c>
      <c r="G47" s="184" t="s">
        <v>129</v>
      </c>
      <c r="H47" s="184" t="s">
        <v>130</v>
      </c>
      <c r="I47" s="184" t="s">
        <v>131</v>
      </c>
      <c r="J47" s="184" t="s">
        <v>132</v>
      </c>
      <c r="K47" s="184" t="s">
        <v>133</v>
      </c>
      <c r="L47" s="184" t="s">
        <v>134</v>
      </c>
      <c r="M47" s="184" t="s">
        <v>135</v>
      </c>
      <c r="N47" s="184" t="s">
        <v>136</v>
      </c>
      <c r="O47" s="185" t="s">
        <v>137</v>
      </c>
      <c r="P47" s="155" t="s">
        <v>138</v>
      </c>
      <c r="Q47" s="198" t="s">
        <v>28</v>
      </c>
      <c r="R47" s="198" t="s">
        <v>27</v>
      </c>
      <c r="S47" s="198" t="s">
        <v>139</v>
      </c>
      <c r="T47" s="199" t="s">
        <v>140</v>
      </c>
    </row>
    <row r="48" spans="1:23" x14ac:dyDescent="0.25">
      <c r="C48" s="154" t="s">
        <v>202</v>
      </c>
      <c r="D48" s="204">
        <f t="shared" ref="D48:O48" si="15">D40*$A$44*D46</f>
        <v>0</v>
      </c>
      <c r="E48" s="158">
        <f t="shared" si="15"/>
        <v>0</v>
      </c>
      <c r="F48" s="158">
        <f t="shared" si="15"/>
        <v>0</v>
      </c>
      <c r="G48" s="158">
        <f t="shared" si="15"/>
        <v>0</v>
      </c>
      <c r="H48" s="158">
        <f t="shared" si="15"/>
        <v>0</v>
      </c>
      <c r="I48" s="158">
        <f t="shared" si="15"/>
        <v>7936</v>
      </c>
      <c r="J48" s="158">
        <f t="shared" si="15"/>
        <v>23808</v>
      </c>
      <c r="K48" s="158">
        <f t="shared" si="15"/>
        <v>55544</v>
      </c>
      <c r="L48" s="158">
        <f t="shared" si="15"/>
        <v>119024</v>
      </c>
      <c r="M48" s="158">
        <f t="shared" si="15"/>
        <v>245984</v>
      </c>
      <c r="N48" s="158">
        <f t="shared" si="15"/>
        <v>484032</v>
      </c>
      <c r="O48" s="205">
        <f t="shared" si="15"/>
        <v>793496</v>
      </c>
      <c r="P48" s="158">
        <f>SUM(I48:O48)</f>
        <v>1729824</v>
      </c>
      <c r="Q48" s="158">
        <f>P40*$A$44*Q46</f>
        <v>22693985.599999998</v>
      </c>
      <c r="R48" s="158">
        <f>Q40*$A$44*R46</f>
        <v>41261792</v>
      </c>
      <c r="S48" s="158">
        <f>R40*$A$44*S46</f>
        <v>78397404.799999997</v>
      </c>
      <c r="T48" s="159">
        <f>S40*$A$44*T46</f>
        <v>152668630.39999998</v>
      </c>
    </row>
    <row r="49" spans="1:20" ht="16.5" thickBot="1" x14ac:dyDescent="0.3">
      <c r="C49" s="201" t="s">
        <v>203</v>
      </c>
      <c r="D49" s="219">
        <f t="shared" ref="D49:T49" si="16">D48*$A$47</f>
        <v>0</v>
      </c>
      <c r="E49" s="210">
        <f t="shared" si="16"/>
        <v>0</v>
      </c>
      <c r="F49" s="210">
        <f t="shared" si="16"/>
        <v>0</v>
      </c>
      <c r="G49" s="210">
        <f t="shared" si="16"/>
        <v>0</v>
      </c>
      <c r="H49" s="210">
        <f t="shared" si="16"/>
        <v>0</v>
      </c>
      <c r="I49" s="210">
        <f t="shared" si="16"/>
        <v>714.24</v>
      </c>
      <c r="J49" s="210">
        <f t="shared" si="16"/>
        <v>2142.7199999999998</v>
      </c>
      <c r="K49" s="210">
        <f t="shared" si="16"/>
        <v>4998.96</v>
      </c>
      <c r="L49" s="210">
        <f t="shared" si="16"/>
        <v>10712.16</v>
      </c>
      <c r="M49" s="210">
        <f t="shared" si="16"/>
        <v>22138.559999999998</v>
      </c>
      <c r="N49" s="210">
        <f t="shared" si="16"/>
        <v>43562.879999999997</v>
      </c>
      <c r="O49" s="220">
        <f t="shared" si="16"/>
        <v>71414.64</v>
      </c>
      <c r="P49" s="210">
        <f t="shared" si="16"/>
        <v>155684.16</v>
      </c>
      <c r="Q49" s="210">
        <f t="shared" si="16"/>
        <v>2042458.7039999997</v>
      </c>
      <c r="R49" s="210">
        <f t="shared" si="16"/>
        <v>3713561.28</v>
      </c>
      <c r="S49" s="210">
        <f t="shared" si="16"/>
        <v>7055766.4319999991</v>
      </c>
      <c r="T49" s="211">
        <f t="shared" si="16"/>
        <v>13740176.735999998</v>
      </c>
    </row>
    <row r="50" spans="1:20" x14ac:dyDescent="0.25"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20" ht="16.5" thickBot="1" x14ac:dyDescent="0.3"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20" x14ac:dyDescent="0.25">
      <c r="C52" s="231" t="s">
        <v>230</v>
      </c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3"/>
    </row>
    <row r="53" spans="1:20" x14ac:dyDescent="0.25">
      <c r="C53" s="154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55"/>
      <c r="Q53" s="155"/>
      <c r="R53" s="155"/>
      <c r="S53" s="155"/>
      <c r="T53" s="156"/>
    </row>
    <row r="54" spans="1:20" x14ac:dyDescent="0.25">
      <c r="C54" s="154"/>
      <c r="D54" s="223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5"/>
      <c r="P54" s="155"/>
      <c r="Q54" s="226"/>
      <c r="R54" s="226"/>
      <c r="S54" s="226"/>
      <c r="T54" s="226"/>
    </row>
    <row r="55" spans="1:20" x14ac:dyDescent="0.25">
      <c r="C55" s="154"/>
      <c r="D55" s="222">
        <v>1</v>
      </c>
      <c r="E55" s="222">
        <v>1</v>
      </c>
      <c r="F55" s="222">
        <v>1</v>
      </c>
      <c r="G55" s="222">
        <v>1</v>
      </c>
      <c r="H55" s="222">
        <v>1</v>
      </c>
      <c r="I55" s="222">
        <v>1</v>
      </c>
      <c r="J55" s="222">
        <v>1</v>
      </c>
      <c r="K55" s="222">
        <v>1</v>
      </c>
      <c r="L55" s="222">
        <v>1</v>
      </c>
      <c r="M55" s="222">
        <v>1</v>
      </c>
      <c r="N55" s="222">
        <v>1</v>
      </c>
      <c r="O55" s="222">
        <v>1</v>
      </c>
      <c r="P55" s="155"/>
      <c r="Q55" s="212">
        <v>12</v>
      </c>
      <c r="R55" s="212">
        <v>12</v>
      </c>
      <c r="S55" s="212">
        <v>12</v>
      </c>
      <c r="T55" s="212">
        <v>12</v>
      </c>
    </row>
    <row r="56" spans="1:20" x14ac:dyDescent="0.25">
      <c r="A56" s="28">
        <v>30000</v>
      </c>
      <c r="C56" s="154"/>
      <c r="D56" s="198" t="s">
        <v>126</v>
      </c>
      <c r="E56" s="198" t="s">
        <v>127</v>
      </c>
      <c r="F56" s="198" t="s">
        <v>128</v>
      </c>
      <c r="G56" s="198" t="s">
        <v>129</v>
      </c>
      <c r="H56" s="198" t="s">
        <v>130</v>
      </c>
      <c r="I56" s="198" t="s">
        <v>131</v>
      </c>
      <c r="J56" s="198" t="s">
        <v>132</v>
      </c>
      <c r="K56" s="198" t="s">
        <v>133</v>
      </c>
      <c r="L56" s="198" t="s">
        <v>134</v>
      </c>
      <c r="M56" s="198" t="s">
        <v>135</v>
      </c>
      <c r="N56" s="198" t="s">
        <v>136</v>
      </c>
      <c r="O56" s="198" t="s">
        <v>137</v>
      </c>
      <c r="P56" s="155" t="s">
        <v>138</v>
      </c>
      <c r="Q56" s="198" t="s">
        <v>28</v>
      </c>
      <c r="R56" s="198" t="s">
        <v>27</v>
      </c>
      <c r="S56" s="198" t="s">
        <v>139</v>
      </c>
      <c r="T56" s="199" t="s">
        <v>140</v>
      </c>
    </row>
    <row r="57" spans="1:20" x14ac:dyDescent="0.25">
      <c r="C57" s="154" t="s">
        <v>148</v>
      </c>
      <c r="D57" s="158">
        <f>D22</f>
        <v>0</v>
      </c>
      <c r="E57" s="158">
        <f>D57+E13</f>
        <v>0</v>
      </c>
      <c r="F57" s="158">
        <f>E57+F13</f>
        <v>0</v>
      </c>
      <c r="G57" s="158">
        <f>F57+G13</f>
        <v>0</v>
      </c>
      <c r="H57" s="158">
        <f>G57+H13</f>
        <v>0</v>
      </c>
      <c r="I57" s="158">
        <v>0</v>
      </c>
      <c r="J57" s="158">
        <f>J31</f>
        <v>1</v>
      </c>
      <c r="K57" s="158">
        <f t="shared" ref="K57:O57" si="17">K31</f>
        <v>2</v>
      </c>
      <c r="L57" s="158">
        <f t="shared" si="17"/>
        <v>5</v>
      </c>
      <c r="M57" s="158">
        <f t="shared" si="17"/>
        <v>11</v>
      </c>
      <c r="N57" s="158">
        <f t="shared" si="17"/>
        <v>22</v>
      </c>
      <c r="O57" s="158">
        <f t="shared" si="17"/>
        <v>36</v>
      </c>
      <c r="P57" s="187">
        <f>SUM(J57:O57)</f>
        <v>77</v>
      </c>
      <c r="Q57" s="158">
        <f>P31*Q55</f>
        <v>1296</v>
      </c>
      <c r="R57" s="158">
        <f>Q31*R55</f>
        <v>3888</v>
      </c>
      <c r="S57" s="158">
        <f>R31*S55</f>
        <v>11664</v>
      </c>
      <c r="T57" s="159">
        <f>S31*T55</f>
        <v>27216</v>
      </c>
    </row>
    <row r="58" spans="1:20" ht="16.5" thickBot="1" x14ac:dyDescent="0.3">
      <c r="C58" s="201" t="s">
        <v>149</v>
      </c>
      <c r="D58" s="202">
        <f t="shared" ref="D58:I58" si="18">D57*$A$56</f>
        <v>0</v>
      </c>
      <c r="E58" s="202">
        <f t="shared" si="18"/>
        <v>0</v>
      </c>
      <c r="F58" s="202">
        <f t="shared" si="18"/>
        <v>0</v>
      </c>
      <c r="G58" s="202">
        <f t="shared" si="18"/>
        <v>0</v>
      </c>
      <c r="H58" s="202">
        <f t="shared" si="18"/>
        <v>0</v>
      </c>
      <c r="I58" s="202">
        <f t="shared" si="18"/>
        <v>0</v>
      </c>
      <c r="J58" s="202">
        <f t="shared" ref="J58:O58" si="19">J57*$A$56</f>
        <v>30000</v>
      </c>
      <c r="K58" s="202">
        <f t="shared" si="19"/>
        <v>60000</v>
      </c>
      <c r="L58" s="202">
        <f t="shared" si="19"/>
        <v>150000</v>
      </c>
      <c r="M58" s="202">
        <f t="shared" si="19"/>
        <v>330000</v>
      </c>
      <c r="N58" s="202">
        <f t="shared" si="19"/>
        <v>660000</v>
      </c>
      <c r="O58" s="202">
        <f t="shared" si="19"/>
        <v>1080000</v>
      </c>
      <c r="P58" s="221">
        <f>SUM(D58:O58)</f>
        <v>2310000</v>
      </c>
      <c r="Q58" s="210">
        <f>Q57*$A$56</f>
        <v>38880000</v>
      </c>
      <c r="R58" s="210">
        <f>R57*$A$56</f>
        <v>116640000</v>
      </c>
      <c r="S58" s="210">
        <f>S57*$A$56</f>
        <v>349920000</v>
      </c>
      <c r="T58" s="211">
        <f>T57*$A$56</f>
        <v>816480000</v>
      </c>
    </row>
    <row r="59" spans="1:20" x14ac:dyDescent="0.25"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20" x14ac:dyDescent="0.25">
      <c r="D60" s="234" t="s">
        <v>26</v>
      </c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 t="s">
        <v>28</v>
      </c>
      <c r="Q60" s="234" t="s">
        <v>27</v>
      </c>
      <c r="R60" s="234" t="s">
        <v>139</v>
      </c>
      <c r="S60" s="234" t="s">
        <v>140</v>
      </c>
      <c r="T60" s="234"/>
    </row>
    <row r="61" spans="1:20" x14ac:dyDescent="0.25">
      <c r="D61" s="23">
        <v>1</v>
      </c>
      <c r="E61" s="23">
        <v>2</v>
      </c>
      <c r="F61" s="23">
        <v>3</v>
      </c>
      <c r="G61" s="23">
        <v>4</v>
      </c>
      <c r="H61" s="23">
        <v>5</v>
      </c>
      <c r="I61" s="23">
        <v>6</v>
      </c>
      <c r="J61" s="23">
        <v>7</v>
      </c>
      <c r="K61" s="23">
        <v>8</v>
      </c>
      <c r="L61" s="23">
        <v>9</v>
      </c>
      <c r="M61" s="23">
        <v>10</v>
      </c>
      <c r="N61" s="23">
        <v>11</v>
      </c>
      <c r="O61" s="23">
        <v>12</v>
      </c>
      <c r="P61" s="234"/>
      <c r="Q61" s="234"/>
      <c r="R61" s="234"/>
      <c r="S61" s="234"/>
      <c r="T61" s="234"/>
    </row>
    <row r="62" spans="1:20" x14ac:dyDescent="0.25">
      <c r="A62" s="22">
        <v>246036</v>
      </c>
      <c r="C62" s="22" t="s">
        <v>150</v>
      </c>
      <c r="D62" s="24">
        <v>0</v>
      </c>
      <c r="E62" s="24">
        <v>0</v>
      </c>
      <c r="F62" s="24">
        <v>0</v>
      </c>
      <c r="G62" s="24">
        <v>0</v>
      </c>
      <c r="H62" s="24">
        <v>246036</v>
      </c>
      <c r="I62" s="24">
        <v>246036</v>
      </c>
      <c r="J62" s="24">
        <v>246036</v>
      </c>
      <c r="K62" s="24">
        <v>246036</v>
      </c>
      <c r="L62" s="24">
        <v>246036</v>
      </c>
      <c r="M62" s="24">
        <v>246036</v>
      </c>
      <c r="N62" s="24">
        <v>246036</v>
      </c>
      <c r="O62" s="24">
        <v>246036</v>
      </c>
      <c r="P62" s="24">
        <f>O62</f>
        <v>246036</v>
      </c>
      <c r="Q62" s="24">
        <f>P62*3</f>
        <v>738108</v>
      </c>
      <c r="R62" s="24">
        <f>P62*3</f>
        <v>738108</v>
      </c>
      <c r="S62" s="24">
        <f>R62*2</f>
        <v>1476216</v>
      </c>
      <c r="T62" s="25"/>
    </row>
    <row r="63" spans="1:20" x14ac:dyDescent="0.25">
      <c r="A63" s="22">
        <v>246036</v>
      </c>
      <c r="C63" s="22" t="s">
        <v>145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f t="shared" ref="I63:O63" si="20">I14</f>
        <v>992</v>
      </c>
      <c r="J63" s="24">
        <f t="shared" si="20"/>
        <v>1984</v>
      </c>
      <c r="K63" s="24">
        <f t="shared" si="20"/>
        <v>3967</v>
      </c>
      <c r="L63" s="24">
        <f t="shared" si="20"/>
        <v>7935</v>
      </c>
      <c r="M63" s="24">
        <f t="shared" si="20"/>
        <v>15870</v>
      </c>
      <c r="N63" s="24">
        <f t="shared" si="20"/>
        <v>29756</v>
      </c>
      <c r="O63" s="24">
        <f t="shared" si="20"/>
        <v>38683</v>
      </c>
      <c r="P63" s="24">
        <f>P14*1.2</f>
        <v>119024.4</v>
      </c>
      <c r="Q63" s="24">
        <f>P63*1.5</f>
        <v>178536.59999999998</v>
      </c>
      <c r="R63" s="24">
        <f>Q63*2</f>
        <v>357073.19999999995</v>
      </c>
      <c r="S63" s="24">
        <f>R63*2</f>
        <v>714146.39999999991</v>
      </c>
      <c r="T63" s="25"/>
    </row>
    <row r="64" spans="1:20" x14ac:dyDescent="0.25">
      <c r="C64" s="22" t="s">
        <v>151</v>
      </c>
      <c r="D64" s="24">
        <f>D63</f>
        <v>0</v>
      </c>
      <c r="E64" s="24">
        <f>D64+E63</f>
        <v>0</v>
      </c>
      <c r="F64" s="24">
        <f t="shared" ref="F64:S64" si="21">E64+F63</f>
        <v>0</v>
      </c>
      <c r="G64" s="24">
        <f t="shared" si="21"/>
        <v>0</v>
      </c>
      <c r="H64" s="24">
        <f t="shared" si="21"/>
        <v>0</v>
      </c>
      <c r="I64" s="24">
        <f t="shared" si="21"/>
        <v>992</v>
      </c>
      <c r="J64" s="24">
        <f t="shared" si="21"/>
        <v>2976</v>
      </c>
      <c r="K64" s="24">
        <f t="shared" si="21"/>
        <v>6943</v>
      </c>
      <c r="L64" s="24">
        <f t="shared" si="21"/>
        <v>14878</v>
      </c>
      <c r="M64" s="24">
        <f t="shared" si="21"/>
        <v>30748</v>
      </c>
      <c r="N64" s="24">
        <f t="shared" si="21"/>
        <v>60504</v>
      </c>
      <c r="O64" s="24">
        <f t="shared" si="21"/>
        <v>99187</v>
      </c>
      <c r="P64" s="24">
        <f t="shared" si="21"/>
        <v>218211.4</v>
      </c>
      <c r="Q64" s="24">
        <f t="shared" si="21"/>
        <v>396748</v>
      </c>
      <c r="R64" s="24">
        <f t="shared" si="21"/>
        <v>753821.2</v>
      </c>
      <c r="S64" s="24">
        <f t="shared" si="21"/>
        <v>1467967.5999999999</v>
      </c>
      <c r="T64" s="25"/>
    </row>
    <row r="66" spans="1:20" x14ac:dyDescent="0.25">
      <c r="D66" s="234" t="s">
        <v>26</v>
      </c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 t="s">
        <v>28</v>
      </c>
      <c r="Q66" s="234" t="s">
        <v>27</v>
      </c>
      <c r="R66" s="234" t="s">
        <v>139</v>
      </c>
      <c r="S66" s="234" t="s">
        <v>140</v>
      </c>
    </row>
    <row r="67" spans="1:20" x14ac:dyDescent="0.25">
      <c r="D67" s="23">
        <v>1</v>
      </c>
      <c r="E67" s="23">
        <v>2</v>
      </c>
      <c r="F67" s="23">
        <v>3</v>
      </c>
      <c r="G67" s="23">
        <v>4</v>
      </c>
      <c r="H67" s="23">
        <v>5</v>
      </c>
      <c r="I67" s="23">
        <v>6</v>
      </c>
      <c r="J67" s="23">
        <v>7</v>
      </c>
      <c r="K67" s="23">
        <v>8</v>
      </c>
      <c r="L67" s="23">
        <v>9</v>
      </c>
      <c r="M67" s="23">
        <v>10</v>
      </c>
      <c r="N67" s="23">
        <v>11</v>
      </c>
      <c r="O67" s="23">
        <v>12</v>
      </c>
      <c r="P67" s="234"/>
      <c r="Q67" s="234"/>
      <c r="R67" s="234"/>
      <c r="S67" s="234"/>
    </row>
    <row r="68" spans="1:20" x14ac:dyDescent="0.25">
      <c r="A68" s="22">
        <v>147336</v>
      </c>
      <c r="C68" s="22" t="s">
        <v>150</v>
      </c>
      <c r="D68" s="24">
        <v>0</v>
      </c>
      <c r="E68" s="24">
        <v>0</v>
      </c>
      <c r="F68" s="24">
        <v>0</v>
      </c>
      <c r="G68" s="24">
        <v>0</v>
      </c>
      <c r="H68" s="24">
        <v>147336</v>
      </c>
      <c r="I68" s="24">
        <v>147336</v>
      </c>
      <c r="J68" s="24">
        <v>147336</v>
      </c>
      <c r="K68" s="24">
        <v>147336</v>
      </c>
      <c r="L68" s="24">
        <v>147336</v>
      </c>
      <c r="M68" s="24">
        <v>147336</v>
      </c>
      <c r="N68" s="24">
        <v>147336</v>
      </c>
      <c r="O68" s="24">
        <v>147336</v>
      </c>
      <c r="P68" s="24">
        <f>O68</f>
        <v>147336</v>
      </c>
      <c r="Q68" s="24">
        <f>P68*3</f>
        <v>442008</v>
      </c>
      <c r="R68" s="24">
        <f>P68*3</f>
        <v>442008</v>
      </c>
      <c r="S68" s="24">
        <f>R68*2</f>
        <v>884016</v>
      </c>
    </row>
    <row r="69" spans="1:20" x14ac:dyDescent="0.25">
      <c r="A69" s="22">
        <v>147336</v>
      </c>
      <c r="C69" s="22" t="s">
        <v>145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f t="shared" ref="I69:O69" si="22">I23</f>
        <v>592</v>
      </c>
      <c r="J69" s="24">
        <f t="shared" si="22"/>
        <v>1186</v>
      </c>
      <c r="K69" s="24">
        <f t="shared" si="22"/>
        <v>2370</v>
      </c>
      <c r="L69" s="24">
        <f t="shared" si="22"/>
        <v>4740</v>
      </c>
      <c r="M69" s="24">
        <f t="shared" si="22"/>
        <v>9481</v>
      </c>
      <c r="N69" s="24">
        <f t="shared" si="22"/>
        <v>17777</v>
      </c>
      <c r="O69" s="24">
        <f t="shared" si="22"/>
        <v>23110</v>
      </c>
      <c r="P69" s="24">
        <f>P23*1.2</f>
        <v>71107.199999999997</v>
      </c>
      <c r="Q69" s="24">
        <f>P69*1.5</f>
        <v>106660.79999999999</v>
      </c>
      <c r="R69" s="24">
        <f>Q69*2</f>
        <v>213321.59999999998</v>
      </c>
      <c r="S69" s="24">
        <f>R69*2</f>
        <v>426643.19999999995</v>
      </c>
    </row>
    <row r="70" spans="1:20" x14ac:dyDescent="0.25">
      <c r="C70" s="22" t="s">
        <v>151</v>
      </c>
      <c r="D70" s="24">
        <f>D69</f>
        <v>0</v>
      </c>
      <c r="E70" s="24">
        <f>D70+E69</f>
        <v>0</v>
      </c>
      <c r="F70" s="24">
        <f t="shared" ref="F70:S70" si="23">E70+F69</f>
        <v>0</v>
      </c>
      <c r="G70" s="24">
        <f t="shared" si="23"/>
        <v>0</v>
      </c>
      <c r="H70" s="24">
        <f t="shared" si="23"/>
        <v>0</v>
      </c>
      <c r="I70" s="24">
        <f t="shared" si="23"/>
        <v>592</v>
      </c>
      <c r="J70" s="24">
        <f t="shared" si="23"/>
        <v>1778</v>
      </c>
      <c r="K70" s="24">
        <f t="shared" si="23"/>
        <v>4148</v>
      </c>
      <c r="L70" s="24">
        <f t="shared" si="23"/>
        <v>8888</v>
      </c>
      <c r="M70" s="24">
        <f t="shared" si="23"/>
        <v>18369</v>
      </c>
      <c r="N70" s="24">
        <f t="shared" si="23"/>
        <v>36146</v>
      </c>
      <c r="O70" s="24">
        <f t="shared" si="23"/>
        <v>59256</v>
      </c>
      <c r="P70" s="24">
        <f t="shared" si="23"/>
        <v>130363.2</v>
      </c>
      <c r="Q70" s="24">
        <f t="shared" si="23"/>
        <v>237024</v>
      </c>
      <c r="R70" s="24">
        <f t="shared" si="23"/>
        <v>450345.6</v>
      </c>
      <c r="S70" s="24">
        <f t="shared" si="23"/>
        <v>876988.79999999993</v>
      </c>
    </row>
    <row r="72" spans="1:20" x14ac:dyDescent="0.25">
      <c r="R72" s="29"/>
    </row>
    <row r="73" spans="1:20" x14ac:dyDescent="0.25">
      <c r="S73" s="30"/>
      <c r="T73" s="27"/>
    </row>
  </sheetData>
  <mergeCells count="24">
    <mergeCell ref="C5:U5"/>
    <mergeCell ref="I7:O7"/>
    <mergeCell ref="D9:O9"/>
    <mergeCell ref="D60:O60"/>
    <mergeCell ref="P60:P61"/>
    <mergeCell ref="Q60:Q61"/>
    <mergeCell ref="R60:R61"/>
    <mergeCell ref="T60:T61"/>
    <mergeCell ref="S60:S61"/>
    <mergeCell ref="C17:U17"/>
    <mergeCell ref="C26:S26"/>
    <mergeCell ref="C35:S35"/>
    <mergeCell ref="C43:T43"/>
    <mergeCell ref="D66:O66"/>
    <mergeCell ref="P66:P67"/>
    <mergeCell ref="Q66:Q67"/>
    <mergeCell ref="R66:R67"/>
    <mergeCell ref="S66:S67"/>
    <mergeCell ref="D54:O54"/>
    <mergeCell ref="Q54:T54"/>
    <mergeCell ref="I45:O45"/>
    <mergeCell ref="Q7:T7"/>
    <mergeCell ref="Q45:T45"/>
    <mergeCell ref="C52:T52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topLeftCell="A10" zoomScale="70" zoomScaleNormal="70" zoomScaleSheetLayoutView="100" workbookViewId="0">
      <selection activeCell="B17" sqref="B17"/>
    </sheetView>
  </sheetViews>
  <sheetFormatPr baseColWidth="10" defaultRowHeight="15" x14ac:dyDescent="0.2"/>
  <cols>
    <col min="1" max="1" width="36.28515625" style="295" bestFit="1" customWidth="1"/>
    <col min="2" max="3" width="22.5703125" style="295" bestFit="1" customWidth="1"/>
    <col min="4" max="4" width="24.42578125" style="295" customWidth="1"/>
    <col min="5" max="5" width="23.140625" style="295" bestFit="1" customWidth="1"/>
    <col min="6" max="6" width="24.7109375" style="295" customWidth="1"/>
    <col min="7" max="7" width="15.42578125" style="295" bestFit="1" customWidth="1"/>
    <col min="8" max="16384" width="11.42578125" style="295"/>
  </cols>
  <sheetData>
    <row r="1" spans="1:7" x14ac:dyDescent="0.2">
      <c r="A1" s="294" t="s">
        <v>263</v>
      </c>
    </row>
    <row r="3" spans="1:7" ht="30" customHeight="1" x14ac:dyDescent="0.2">
      <c r="A3" s="296" t="s">
        <v>264</v>
      </c>
      <c r="B3" s="297">
        <v>1</v>
      </c>
      <c r="C3" s="297">
        <v>2</v>
      </c>
      <c r="D3" s="297">
        <v>3</v>
      </c>
      <c r="E3" s="297">
        <v>4</v>
      </c>
      <c r="F3" s="297">
        <v>5</v>
      </c>
    </row>
    <row r="4" spans="1:7" ht="15" customHeight="1" x14ac:dyDescent="0.2">
      <c r="A4" s="298"/>
      <c r="B4" s="299"/>
      <c r="C4" s="299"/>
      <c r="D4" s="299"/>
      <c r="E4" s="299"/>
      <c r="F4" s="299"/>
    </row>
    <row r="5" spans="1:7" ht="30" customHeight="1" x14ac:dyDescent="0.2">
      <c r="A5" s="296" t="s">
        <v>265</v>
      </c>
      <c r="B5" s="300">
        <f>'P y G'!D31</f>
        <v>-48399609.268571429</v>
      </c>
      <c r="C5" s="300">
        <f>'P y G'!E31</f>
        <v>-16250586.524571437</v>
      </c>
      <c r="D5" s="300">
        <f>'P y G'!F31</f>
        <v>47027472.011428565</v>
      </c>
      <c r="E5" s="300">
        <f>'P y G'!G31</f>
        <v>223242656.26342854</v>
      </c>
      <c r="F5" s="300">
        <f>'P y G'!H31</f>
        <v>546079543.24532843</v>
      </c>
    </row>
    <row r="6" spans="1:7" ht="30" customHeight="1" x14ac:dyDescent="0.2">
      <c r="A6" s="296" t="s">
        <v>266</v>
      </c>
      <c r="B6" s="300">
        <f>B5*(1-'P y G'!$C$15)</f>
        <v>-32427738.209942855</v>
      </c>
      <c r="C6" s="300">
        <f>C5*(1-'P y G'!$C$15)</f>
        <v>-10887892.971462863</v>
      </c>
      <c r="D6" s="300">
        <f>D5*(1-'P y G'!$C$15)</f>
        <v>31508406.247657135</v>
      </c>
      <c r="E6" s="300">
        <f>E5*(1-'P y G'!$C$15)</f>
        <v>149572579.69649711</v>
      </c>
      <c r="F6" s="300">
        <f>F5*(1-'P y G'!$C$15)</f>
        <v>365873293.97437</v>
      </c>
    </row>
    <row r="7" spans="1:7" ht="15" customHeight="1" x14ac:dyDescent="0.2">
      <c r="A7" s="298"/>
      <c r="B7" s="298"/>
      <c r="C7" s="298"/>
      <c r="D7" s="298"/>
      <c r="E7" s="298"/>
      <c r="F7" s="298"/>
    </row>
    <row r="8" spans="1:7" ht="30" customHeight="1" x14ac:dyDescent="0.2">
      <c r="A8" s="303" t="s">
        <v>267</v>
      </c>
      <c r="B8" s="300">
        <f>'FC y B'!C43</f>
        <v>54716390.731428564</v>
      </c>
      <c r="C8" s="300">
        <f>'FC y B'!D43</f>
        <v>18235445.858102553</v>
      </c>
      <c r="D8" s="300">
        <f>'FC y B'!E43</f>
        <v>45032559.52077654</v>
      </c>
      <c r="E8" s="300">
        <f>'FC y B'!F43</f>
        <v>253874147.925971</v>
      </c>
      <c r="F8" s="300">
        <f>'FC y B'!G43</f>
        <v>726283614.60436785</v>
      </c>
      <c r="G8" s="347"/>
    </row>
    <row r="9" spans="1:7" ht="30" customHeight="1" x14ac:dyDescent="0.2">
      <c r="A9" s="296" t="s">
        <v>268</v>
      </c>
      <c r="B9" s="300">
        <f>'FC y B'!B41</f>
        <v>-1193541.4285714286</v>
      </c>
      <c r="C9" s="300">
        <f>'FC y B'!D41</f>
        <v>-2387082.8571428573</v>
      </c>
      <c r="D9" s="300">
        <f>'FC y B'!E41</f>
        <v>-3580624.2857142859</v>
      </c>
      <c r="E9" s="300">
        <f>'FC y B'!F41</f>
        <v>-4774165.7142857146</v>
      </c>
      <c r="F9" s="300">
        <f>'FC y B'!G41</f>
        <v>-5967707.1428571437</v>
      </c>
    </row>
    <row r="10" spans="1:7" ht="30" customHeight="1" x14ac:dyDescent="0.2">
      <c r="A10" s="296" t="s">
        <v>269</v>
      </c>
      <c r="B10" s="300">
        <f>'FC y B'!C48</f>
        <v>13157514.092267748</v>
      </c>
      <c r="C10" s="300">
        <f>'FC y B'!D48</f>
        <v>16842485.907732245</v>
      </c>
      <c r="D10" s="300">
        <f>'FC y B'!E48</f>
        <v>14401067.858234059</v>
      </c>
      <c r="E10" s="300">
        <f>'FC y B'!F48</f>
        <v>73670076.566931427</v>
      </c>
      <c r="F10" s="300">
        <f>'FC y B'!G48</f>
        <v>180206249.27095839</v>
      </c>
    </row>
    <row r="11" spans="1:7" ht="30" customHeight="1" x14ac:dyDescent="0.2">
      <c r="A11" s="296" t="s">
        <v>270</v>
      </c>
      <c r="B11" s="304">
        <f>B8-B9-B10</f>
        <v>42752418.067732245</v>
      </c>
      <c r="C11" s="304">
        <f t="shared" ref="C11:F11" si="0">C8-C9-C10</f>
        <v>3780042.8075131662</v>
      </c>
      <c r="D11" s="304">
        <f t="shared" ref="D11" si="1">D8-D9-D10</f>
        <v>34212115.948256761</v>
      </c>
      <c r="E11" s="304">
        <f t="shared" ref="E11" si="2">E8-E9-E10</f>
        <v>184978237.07332528</v>
      </c>
      <c r="F11" s="304">
        <f t="shared" ref="F11" si="3">F8-F9-F10</f>
        <v>552045072.47626662</v>
      </c>
    </row>
    <row r="12" spans="1:7" ht="15" customHeight="1" x14ac:dyDescent="0.2">
      <c r="A12" s="298"/>
      <c r="B12" s="298"/>
      <c r="C12" s="298"/>
      <c r="D12" s="298"/>
      <c r="E12" s="298"/>
      <c r="F12" s="298"/>
    </row>
    <row r="13" spans="1:7" ht="30" customHeight="1" x14ac:dyDescent="0.2">
      <c r="A13" s="296" t="s">
        <v>271</v>
      </c>
      <c r="B13" s="300">
        <f>B6</f>
        <v>-32427738.209942855</v>
      </c>
      <c r="C13" s="300">
        <f t="shared" ref="C13:F13" si="4">C6</f>
        <v>-10887892.971462863</v>
      </c>
      <c r="D13" s="300">
        <f t="shared" si="4"/>
        <v>31508406.247657135</v>
      </c>
      <c r="E13" s="300">
        <f t="shared" si="4"/>
        <v>149572579.69649711</v>
      </c>
      <c r="F13" s="300">
        <f t="shared" si="4"/>
        <v>365873293.97437</v>
      </c>
    </row>
    <row r="14" spans="1:7" ht="30" customHeight="1" x14ac:dyDescent="0.2">
      <c r="A14" s="345" t="s">
        <v>272</v>
      </c>
      <c r="B14" s="346">
        <f>C8-B8</f>
        <v>-36480944.873326011</v>
      </c>
      <c r="C14" s="346">
        <f t="shared" ref="C14:E14" si="5">D8-C8</f>
        <v>26797113.662673987</v>
      </c>
      <c r="D14" s="346">
        <f t="shared" si="5"/>
        <v>208841588.40519446</v>
      </c>
      <c r="E14" s="346">
        <f>F8-E8</f>
        <v>472409466.67839682</v>
      </c>
      <c r="F14" s="346">
        <f>G8-F8</f>
        <v>-726283614.60436785</v>
      </c>
    </row>
    <row r="15" spans="1:7" ht="30" customHeight="1" x14ac:dyDescent="0.2">
      <c r="A15" s="296" t="s">
        <v>273</v>
      </c>
      <c r="B15" s="302">
        <f>B13-B14</f>
        <v>4053206.6633831561</v>
      </c>
      <c r="C15" s="302">
        <f t="shared" ref="C15:F15" si="6">C13-C14</f>
        <v>-37685006.634136848</v>
      </c>
      <c r="D15" s="302">
        <f t="shared" si="6"/>
        <v>-177333182.15753734</v>
      </c>
      <c r="E15" s="302">
        <f t="shared" si="6"/>
        <v>-322836886.98189974</v>
      </c>
      <c r="F15" s="302">
        <f t="shared" si="6"/>
        <v>1092156908.5787377</v>
      </c>
    </row>
    <row r="16" spans="1:7" ht="15" customHeight="1" x14ac:dyDescent="0.2">
      <c r="A16" s="298"/>
      <c r="B16" s="321"/>
      <c r="C16" s="298"/>
      <c r="D16" s="298"/>
      <c r="E16" s="298"/>
      <c r="F16" s="298"/>
    </row>
    <row r="17" spans="1:6" ht="30" customHeight="1" x14ac:dyDescent="0.2">
      <c r="A17" s="296" t="s">
        <v>262</v>
      </c>
      <c r="B17" s="305">
        <f>B13/B11</f>
        <v>-0.75850068079349109</v>
      </c>
      <c r="C17" s="305">
        <f t="shared" ref="C17:F17" si="7">C13/C11</f>
        <v>-2.8803623466438584</v>
      </c>
      <c r="D17" s="305">
        <f t="shared" si="7"/>
        <v>0.92097215779670627</v>
      </c>
      <c r="E17" s="305">
        <f t="shared" si="7"/>
        <v>0.80859555190379839</v>
      </c>
      <c r="F17" s="305">
        <f t="shared" si="7"/>
        <v>0.66275982200728645</v>
      </c>
    </row>
    <row r="18" spans="1:6" ht="30" customHeight="1" x14ac:dyDescent="0.2">
      <c r="A18" s="296" t="s">
        <v>246</v>
      </c>
      <c r="B18" s="306">
        <f>wacc</f>
        <v>0.19657567567567569</v>
      </c>
      <c r="C18" s="306">
        <f>wacc</f>
        <v>0.19657567567567569</v>
      </c>
      <c r="D18" s="306">
        <f>wacc</f>
        <v>0.19657567567567569</v>
      </c>
      <c r="E18" s="306">
        <f>wacc</f>
        <v>0.19657567567567569</v>
      </c>
      <c r="F18" s="306">
        <f>wacc</f>
        <v>0.19657567567567569</v>
      </c>
    </row>
    <row r="19" spans="1:6" ht="30" customHeight="1" x14ac:dyDescent="0.2">
      <c r="A19" s="296" t="s">
        <v>274</v>
      </c>
      <c r="B19" s="307">
        <f>B13-(B11*B18)</f>
        <v>-40831823.678376287</v>
      </c>
      <c r="C19" s="307">
        <f t="shared" ref="C19:F19" si="8">C13-(C11*C18)</f>
        <v>-11630957.440432742</v>
      </c>
      <c r="D19" s="307">
        <f t="shared" si="8"/>
        <v>24783136.438834004</v>
      </c>
      <c r="E19" s="307">
        <f t="shared" si="8"/>
        <v>113210357.75851288</v>
      </c>
      <c r="F19" s="307">
        <f t="shared" si="8"/>
        <v>257354660.84892052</v>
      </c>
    </row>
    <row r="20" spans="1:6" ht="15" customHeight="1" x14ac:dyDescent="0.2">
      <c r="A20" s="298"/>
      <c r="B20" s="298"/>
      <c r="C20" s="298"/>
      <c r="D20" s="298"/>
      <c r="E20" s="298"/>
      <c r="F20" s="298"/>
    </row>
    <row r="21" spans="1:6" ht="30" customHeight="1" x14ac:dyDescent="0.2">
      <c r="A21" s="296" t="s">
        <v>275</v>
      </c>
      <c r="B21" s="323">
        <f>1/(1+B18)^1</f>
        <v>0.83571814163389679</v>
      </c>
      <c r="C21" s="323">
        <f>1/(1+C18)^2</f>
        <v>0.69842481225601405</v>
      </c>
      <c r="D21" s="323">
        <f>1/(1+D18)^3</f>
        <v>0.58368628616959928</v>
      </c>
      <c r="E21" s="323">
        <f>1/(1+E18)^4</f>
        <v>0.48779721837484841</v>
      </c>
      <c r="F21" s="323">
        <f>1/(1+F18)^5</f>
        <v>0.40766098483441238</v>
      </c>
    </row>
    <row r="22" spans="1:6" ht="30" customHeight="1" x14ac:dyDescent="0.2">
      <c r="A22" s="296" t="s">
        <v>276</v>
      </c>
      <c r="B22" s="309">
        <f>B15*B21</f>
        <v>3387338.3403806984</v>
      </c>
      <c r="C22" s="309">
        <f t="shared" ref="C22:F22" si="9">C15*C21</f>
        <v>-26320143.683313671</v>
      </c>
      <c r="D22" s="309">
        <f t="shared" si="9"/>
        <v>-103506946.50817002</v>
      </c>
      <c r="E22" s="309">
        <f t="shared" si="9"/>
        <v>-157478935.45856601</v>
      </c>
      <c r="F22" s="309">
        <f t="shared" si="9"/>
        <v>445229760.94491553</v>
      </c>
    </row>
    <row r="23" spans="1:6" ht="30" customHeight="1" x14ac:dyDescent="0.2">
      <c r="A23" s="296" t="s">
        <v>277</v>
      </c>
      <c r="B23" s="309">
        <f>B19*B21</f>
        <v>-34123895.804015577</v>
      </c>
      <c r="C23" s="309">
        <f t="shared" ref="C23:F23" si="10">C19*C21</f>
        <v>-8123349.2666919278</v>
      </c>
      <c r="D23" s="309">
        <f t="shared" si="10"/>
        <v>14465576.867617488</v>
      </c>
      <c r="E23" s="309">
        <f t="shared" si="10"/>
        <v>55223697.605824023</v>
      </c>
      <c r="F23" s="309">
        <f t="shared" si="10"/>
        <v>104913454.49339713</v>
      </c>
    </row>
    <row r="24" spans="1:6" ht="15" customHeight="1" x14ac:dyDescent="0.2">
      <c r="A24" s="298"/>
      <c r="B24" s="298"/>
      <c r="C24" s="307"/>
      <c r="D24" s="307"/>
      <c r="E24" s="307"/>
      <c r="F24" s="307"/>
    </row>
    <row r="25" spans="1:6" ht="30" customHeight="1" x14ac:dyDescent="0.2">
      <c r="A25" s="296" t="s">
        <v>278</v>
      </c>
      <c r="B25" s="309">
        <f>SUM(B23:F23)</f>
        <v>132355483.89613113</v>
      </c>
      <c r="C25" s="307"/>
      <c r="D25" s="307"/>
      <c r="E25" s="307"/>
      <c r="F25" s="307"/>
    </row>
    <row r="26" spans="1:6" ht="30" customHeight="1" x14ac:dyDescent="0.2">
      <c r="A26" s="296" t="s">
        <v>279</v>
      </c>
      <c r="B26" s="309">
        <f>SUM(B22:F22)</f>
        <v>161311073.63524652</v>
      </c>
      <c r="C26" s="307"/>
      <c r="D26" s="307"/>
      <c r="E26" s="307"/>
      <c r="F26" s="307"/>
    </row>
    <row r="27" spans="1:6" ht="18.75" x14ac:dyDescent="0.2">
      <c r="B27" s="301"/>
      <c r="C27" s="301"/>
      <c r="D27" s="301"/>
      <c r="E27" s="301"/>
      <c r="F27" s="301"/>
    </row>
    <row r="28" spans="1:6" ht="18.75" x14ac:dyDescent="0.2">
      <c r="A28" s="295" t="s">
        <v>280</v>
      </c>
      <c r="B28" s="308"/>
      <c r="C28" s="301"/>
      <c r="D28" s="301"/>
      <c r="E28" s="301"/>
      <c r="F28" s="301"/>
    </row>
    <row r="29" spans="1:6" ht="18.75" x14ac:dyDescent="0.2">
      <c r="A29" s="295" t="s">
        <v>281</v>
      </c>
      <c r="B29" s="308"/>
      <c r="C29" s="301"/>
      <c r="D29" s="308"/>
      <c r="E29" s="308"/>
      <c r="F29" s="308"/>
    </row>
    <row r="30" spans="1:6" x14ac:dyDescent="0.2">
      <c r="D30" s="310"/>
      <c r="E30" s="310"/>
      <c r="F30" s="310"/>
    </row>
    <row r="31" spans="1:6" ht="20.25" customHeight="1" x14ac:dyDescent="0.2">
      <c r="A31" s="311"/>
      <c r="B31" s="311"/>
      <c r="C31" s="311"/>
      <c r="D31" s="311"/>
      <c r="E31" s="311"/>
      <c r="F31" s="311"/>
    </row>
    <row r="32" spans="1:6" x14ac:dyDescent="0.2">
      <c r="A32" s="311"/>
      <c r="B32" s="311"/>
      <c r="C32" s="311"/>
      <c r="D32" s="311"/>
      <c r="E32" s="311"/>
      <c r="F32" s="311"/>
    </row>
    <row r="33" spans="1:17" x14ac:dyDescent="0.2">
      <c r="A33" s="311"/>
      <c r="B33" s="311"/>
      <c r="C33" s="311"/>
      <c r="D33" s="311"/>
      <c r="E33" s="311"/>
      <c r="F33" s="311"/>
    </row>
    <row r="34" spans="1:17" x14ac:dyDescent="0.2">
      <c r="A34" s="311"/>
      <c r="B34" s="311"/>
      <c r="C34" s="311"/>
      <c r="D34" s="311"/>
      <c r="E34" s="311"/>
      <c r="F34" s="311"/>
    </row>
    <row r="35" spans="1:17" x14ac:dyDescent="0.2">
      <c r="A35" s="311"/>
      <c r="B35" s="311"/>
      <c r="C35" s="311"/>
      <c r="D35" s="311"/>
      <c r="E35" s="311"/>
      <c r="F35" s="311"/>
    </row>
    <row r="45" spans="1:17" x14ac:dyDescent="0.2">
      <c r="Q45" s="312"/>
    </row>
    <row r="46" spans="1:17" x14ac:dyDescent="0.2">
      <c r="Q46" s="312"/>
    </row>
  </sheetData>
  <mergeCells count="1">
    <mergeCell ref="A31:F35"/>
  </mergeCells>
  <pageMargins left="0.31496062992125984" right="0.31496062992125984" top="0.55118110236220474" bottom="0.55118110236220474" header="0.31496062992125984" footer="0.31496062992125984"/>
  <pageSetup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N33"/>
  <sheetViews>
    <sheetView topLeftCell="A7" workbookViewId="0">
      <selection activeCell="Q18" sqref="Q18"/>
    </sheetView>
  </sheetViews>
  <sheetFormatPr baseColWidth="10" defaultRowHeight="12.75" x14ac:dyDescent="0.2"/>
  <cols>
    <col min="1" max="1" width="5.140625" customWidth="1"/>
    <col min="4" max="4" width="9.28515625" bestFit="1" customWidth="1"/>
    <col min="5" max="5" width="8.7109375" customWidth="1"/>
    <col min="6" max="6" width="9.28515625" bestFit="1" customWidth="1"/>
    <col min="7" max="7" width="8.7109375" customWidth="1"/>
    <col min="8" max="8" width="11.28515625" bestFit="1" customWidth="1"/>
    <col min="9" max="14" width="8.7109375" customWidth="1"/>
  </cols>
  <sheetData>
    <row r="1" spans="2:14" ht="18" x14ac:dyDescent="0.25">
      <c r="B1" s="274" t="s">
        <v>93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3" spans="2:14" x14ac:dyDescent="0.2">
      <c r="B3" t="s">
        <v>94</v>
      </c>
    </row>
    <row r="5" spans="2:14" x14ac:dyDescent="0.2">
      <c r="B5" s="1" t="s">
        <v>95</v>
      </c>
      <c r="C5" s="2">
        <v>120</v>
      </c>
      <c r="D5" s="3">
        <v>0.22</v>
      </c>
      <c r="E5" s="1" t="s">
        <v>98</v>
      </c>
    </row>
    <row r="6" spans="2:14" x14ac:dyDescent="0.2">
      <c r="C6" s="2"/>
      <c r="D6" s="2"/>
    </row>
    <row r="7" spans="2:14" x14ac:dyDescent="0.2">
      <c r="B7" s="1" t="s">
        <v>96</v>
      </c>
      <c r="C7" s="2">
        <v>140</v>
      </c>
      <c r="D7" s="3">
        <v>0.21</v>
      </c>
      <c r="E7" s="1" t="s">
        <v>99</v>
      </c>
    </row>
    <row r="8" spans="2:14" x14ac:dyDescent="0.2">
      <c r="C8" s="2"/>
      <c r="D8" s="2"/>
    </row>
    <row r="9" spans="2:14" x14ac:dyDescent="0.2">
      <c r="B9" s="1" t="s">
        <v>97</v>
      </c>
      <c r="C9" s="2">
        <v>80</v>
      </c>
      <c r="D9" s="3">
        <v>0.19</v>
      </c>
      <c r="E9" s="1" t="s">
        <v>100</v>
      </c>
    </row>
    <row r="13" spans="2:14" ht="18" x14ac:dyDescent="0.25">
      <c r="B13" s="276" t="s">
        <v>101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</row>
    <row r="15" spans="2:14" ht="15" x14ac:dyDescent="0.25">
      <c r="B15" s="275" t="s">
        <v>102</v>
      </c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</row>
    <row r="16" spans="2:14" x14ac:dyDescent="0.2">
      <c r="B16" s="1"/>
    </row>
    <row r="17" spans="2:14" x14ac:dyDescent="0.2">
      <c r="B17" s="1"/>
      <c r="D17" s="13" t="s">
        <v>105</v>
      </c>
      <c r="E17" s="13" t="s">
        <v>106</v>
      </c>
      <c r="F17" s="13" t="s">
        <v>107</v>
      </c>
    </row>
    <row r="18" spans="2:14" x14ac:dyDescent="0.2">
      <c r="D18" s="4" t="s">
        <v>103</v>
      </c>
      <c r="E18" s="4" t="s">
        <v>116</v>
      </c>
      <c r="F18" s="4" t="s">
        <v>108</v>
      </c>
      <c r="H18" s="12" t="s">
        <v>110</v>
      </c>
    </row>
    <row r="19" spans="2:14" x14ac:dyDescent="0.2">
      <c r="B19" s="7" t="s">
        <v>95</v>
      </c>
      <c r="C19" s="8">
        <v>120</v>
      </c>
      <c r="D19" s="5">
        <v>0.22</v>
      </c>
      <c r="E19" s="11">
        <f>C19/$C$22</f>
        <v>0.35294117647058826</v>
      </c>
      <c r="F19" s="11">
        <f>+D19*E19</f>
        <v>7.7647058823529416E-2</v>
      </c>
      <c r="H19" s="6">
        <v>5</v>
      </c>
    </row>
    <row r="20" spans="2:14" x14ac:dyDescent="0.2">
      <c r="B20" s="7" t="s">
        <v>96</v>
      </c>
      <c r="C20" s="8">
        <v>140</v>
      </c>
      <c r="D20" s="5">
        <v>0.21</v>
      </c>
      <c r="E20" s="11">
        <f>C20/$C$22</f>
        <v>0.41176470588235292</v>
      </c>
      <c r="F20" s="11">
        <f>+D20*E20</f>
        <v>8.6470588235294105E-2</v>
      </c>
      <c r="H20" s="6">
        <v>10</v>
      </c>
    </row>
    <row r="21" spans="2:14" x14ac:dyDescent="0.2">
      <c r="B21" s="7" t="s">
        <v>97</v>
      </c>
      <c r="C21" s="8">
        <v>80</v>
      </c>
      <c r="D21" s="5">
        <v>0.19</v>
      </c>
      <c r="E21" s="11">
        <f>C21/$C$22</f>
        <v>0.23529411764705882</v>
      </c>
      <c r="F21" s="11">
        <f>+D21*E21</f>
        <v>4.4705882352941179E-2</v>
      </c>
      <c r="H21" s="6">
        <v>8</v>
      </c>
    </row>
    <row r="22" spans="2:14" ht="15.75" x14ac:dyDescent="0.25">
      <c r="B22" s="9" t="s">
        <v>104</v>
      </c>
      <c r="C22" s="10">
        <f>SUM(C19:C21)</f>
        <v>340</v>
      </c>
      <c r="E22" s="9" t="s">
        <v>109</v>
      </c>
      <c r="F22" s="14">
        <f>SUM(F19:F21)</f>
        <v>0.20882352941176471</v>
      </c>
    </row>
    <row r="25" spans="2:14" ht="15" x14ac:dyDescent="0.25">
      <c r="B25" s="275" t="s">
        <v>111</v>
      </c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</row>
    <row r="26" spans="2:14" x14ac:dyDescent="0.2">
      <c r="C26" s="1" t="s">
        <v>115</v>
      </c>
      <c r="D26" s="2">
        <v>0</v>
      </c>
      <c r="E26" s="2">
        <v>1</v>
      </c>
      <c r="F26" s="2">
        <v>2</v>
      </c>
      <c r="G26" s="2">
        <v>3</v>
      </c>
      <c r="H26" s="2">
        <v>4</v>
      </c>
      <c r="I26" s="2">
        <v>5</v>
      </c>
      <c r="J26" s="2">
        <v>6</v>
      </c>
      <c r="K26" s="2">
        <v>7</v>
      </c>
      <c r="L26" s="2">
        <v>8</v>
      </c>
      <c r="M26" s="2">
        <v>9</v>
      </c>
      <c r="N26" s="2">
        <v>10</v>
      </c>
    </row>
    <row r="27" spans="2:14" x14ac:dyDescent="0.2">
      <c r="B27" s="1" t="s">
        <v>112</v>
      </c>
      <c r="C27" s="16" t="s">
        <v>118</v>
      </c>
      <c r="E27" s="15">
        <f>PMT(D19,H19,C19)</f>
        <v>-41.904712181789826</v>
      </c>
      <c r="F27" s="15">
        <f>+E27</f>
        <v>-41.904712181789826</v>
      </c>
      <c r="G27" s="15">
        <f>+F27</f>
        <v>-41.904712181789826</v>
      </c>
      <c r="H27" s="15">
        <f>+G27</f>
        <v>-41.904712181789826</v>
      </c>
      <c r="I27" s="15">
        <f>+H27</f>
        <v>-41.904712181789826</v>
      </c>
      <c r="J27" s="6"/>
      <c r="K27" s="6"/>
      <c r="L27" s="6"/>
      <c r="M27" s="6"/>
      <c r="N27" s="6"/>
    </row>
    <row r="28" spans="2:14" x14ac:dyDescent="0.2">
      <c r="B28" s="1" t="s">
        <v>113</v>
      </c>
      <c r="C28" s="16" t="s">
        <v>119</v>
      </c>
      <c r="E28" s="15">
        <f>PMT(D20,H20,C20)</f>
        <v>-34.533129683128465</v>
      </c>
      <c r="F28" s="15">
        <f t="shared" ref="F28:N29" si="0">+E28</f>
        <v>-34.533129683128465</v>
      </c>
      <c r="G28" s="15">
        <f t="shared" si="0"/>
        <v>-34.533129683128465</v>
      </c>
      <c r="H28" s="15">
        <f t="shared" si="0"/>
        <v>-34.533129683128465</v>
      </c>
      <c r="I28" s="15">
        <f t="shared" si="0"/>
        <v>-34.533129683128465</v>
      </c>
      <c r="J28" s="15">
        <f t="shared" si="0"/>
        <v>-34.533129683128465</v>
      </c>
      <c r="K28" s="15">
        <f t="shared" si="0"/>
        <v>-34.533129683128465</v>
      </c>
      <c r="L28" s="15">
        <f t="shared" si="0"/>
        <v>-34.533129683128465</v>
      </c>
      <c r="M28" s="15">
        <f t="shared" si="0"/>
        <v>-34.533129683128465</v>
      </c>
      <c r="N28" s="15">
        <f t="shared" si="0"/>
        <v>-34.533129683128465</v>
      </c>
    </row>
    <row r="29" spans="2:14" x14ac:dyDescent="0.2">
      <c r="B29" s="1" t="s">
        <v>114</v>
      </c>
      <c r="C29" s="16" t="s">
        <v>120</v>
      </c>
      <c r="E29" s="15">
        <f>PMT(D21,H21,C21)</f>
        <v>-20.230804830727816</v>
      </c>
      <c r="F29" s="15">
        <f t="shared" si="0"/>
        <v>-20.230804830727816</v>
      </c>
      <c r="G29" s="15">
        <f t="shared" si="0"/>
        <v>-20.230804830727816</v>
      </c>
      <c r="H29" s="15">
        <f t="shared" si="0"/>
        <v>-20.230804830727816</v>
      </c>
      <c r="I29" s="15">
        <f t="shared" si="0"/>
        <v>-20.230804830727816</v>
      </c>
      <c r="J29" s="15">
        <f t="shared" si="0"/>
        <v>-20.230804830727816</v>
      </c>
      <c r="K29" s="15">
        <f t="shared" si="0"/>
        <v>-20.230804830727816</v>
      </c>
      <c r="L29" s="15">
        <f t="shared" si="0"/>
        <v>-20.230804830727816</v>
      </c>
      <c r="M29" s="6"/>
      <c r="N29" s="6"/>
    </row>
    <row r="30" spans="2:14" x14ac:dyDescent="0.2">
      <c r="B30" s="1" t="s">
        <v>117</v>
      </c>
      <c r="D30" s="17">
        <v>340</v>
      </c>
      <c r="E30" s="18">
        <f>SUM(E27:E29)</f>
        <v>-96.668646695646103</v>
      </c>
      <c r="F30" s="18">
        <f t="shared" ref="F30:N30" si="1">SUM(F27:F29)</f>
        <v>-96.668646695646103</v>
      </c>
      <c r="G30" s="18">
        <f t="shared" si="1"/>
        <v>-96.668646695646103</v>
      </c>
      <c r="H30" s="18">
        <f t="shared" si="1"/>
        <v>-96.668646695646103</v>
      </c>
      <c r="I30" s="18">
        <f t="shared" si="1"/>
        <v>-96.668646695646103</v>
      </c>
      <c r="J30" s="18">
        <f t="shared" si="1"/>
        <v>-54.763934513856285</v>
      </c>
      <c r="K30" s="18">
        <f t="shared" si="1"/>
        <v>-54.763934513856285</v>
      </c>
      <c r="L30" s="18">
        <f t="shared" si="1"/>
        <v>-54.763934513856285</v>
      </c>
      <c r="M30" s="18">
        <f t="shared" si="1"/>
        <v>-34.533129683128465</v>
      </c>
      <c r="N30" s="18">
        <f t="shared" si="1"/>
        <v>-34.533129683128465</v>
      </c>
    </row>
    <row r="33" spans="2:4" ht="15.75" x14ac:dyDescent="0.25">
      <c r="B33" s="19" t="s">
        <v>121</v>
      </c>
      <c r="C33" s="20"/>
      <c r="D33" s="21">
        <f>IRR(D30:N30)</f>
        <v>0.20789068578076986</v>
      </c>
    </row>
  </sheetData>
  <mergeCells count="4">
    <mergeCell ref="B1:N1"/>
    <mergeCell ref="B15:N15"/>
    <mergeCell ref="B25:N25"/>
    <mergeCell ref="B13:N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workbookViewId="0">
      <selection activeCell="E25" sqref="E25"/>
    </sheetView>
  </sheetViews>
  <sheetFormatPr baseColWidth="10" defaultRowHeight="15" x14ac:dyDescent="0.25"/>
  <cols>
    <col min="1" max="1" width="12.7109375" style="33" customWidth="1"/>
    <col min="2" max="2" width="10.42578125" style="33" bestFit="1" customWidth="1"/>
    <col min="3" max="3" width="14.5703125" style="33" bestFit="1" customWidth="1"/>
    <col min="4" max="4" width="17.28515625" style="33" bestFit="1" customWidth="1"/>
    <col min="5" max="5" width="15.5703125" style="33" bestFit="1" customWidth="1"/>
    <col min="6" max="6" width="17.140625" style="33" bestFit="1" customWidth="1"/>
    <col min="7" max="7" width="15.5703125" style="33" bestFit="1" customWidth="1"/>
    <col min="8" max="16384" width="11.42578125" style="33"/>
  </cols>
  <sheetData>
    <row r="1" spans="2:9" x14ac:dyDescent="0.25">
      <c r="B1" s="36"/>
      <c r="C1" s="36"/>
      <c r="D1" s="36"/>
      <c r="F1" s="37"/>
    </row>
    <row r="2" spans="2:9" ht="15.75" thickBot="1" x14ac:dyDescent="0.3">
      <c r="B2" s="36"/>
      <c r="C2" s="36"/>
      <c r="D2" s="36"/>
      <c r="F2" s="37"/>
    </row>
    <row r="3" spans="2:9" ht="15.75" thickBot="1" x14ac:dyDescent="0.3">
      <c r="B3" s="248" t="s">
        <v>181</v>
      </c>
      <c r="C3" s="249"/>
      <c r="D3" s="249"/>
      <c r="E3" s="250"/>
    </row>
    <row r="4" spans="2:9" x14ac:dyDescent="0.25">
      <c r="B4" s="38" t="s">
        <v>182</v>
      </c>
      <c r="C4" s="39" t="s">
        <v>183</v>
      </c>
      <c r="D4" s="39" t="s">
        <v>184</v>
      </c>
      <c r="E4" s="40" t="s">
        <v>185</v>
      </c>
    </row>
    <row r="5" spans="2:9" ht="15.75" thickBot="1" x14ac:dyDescent="0.3">
      <c r="B5" s="141" t="s">
        <v>211</v>
      </c>
      <c r="C5" s="41">
        <v>1</v>
      </c>
      <c r="D5" s="42">
        <v>1000000</v>
      </c>
      <c r="E5" s="43">
        <f>D5*C5</f>
        <v>1000000</v>
      </c>
    </row>
    <row r="6" spans="2:9" ht="15.75" thickBot="1" x14ac:dyDescent="0.3">
      <c r="B6" s="44" t="s">
        <v>33</v>
      </c>
      <c r="C6" s="45">
        <f>SUM(C5:C5)</f>
        <v>1</v>
      </c>
      <c r="D6" s="46">
        <f>SUM(D5:D5)</f>
        <v>1000000</v>
      </c>
      <c r="E6" s="47">
        <f>SUM(E5:E5)</f>
        <v>1000000</v>
      </c>
      <c r="F6" s="48"/>
    </row>
    <row r="7" spans="2:9" x14ac:dyDescent="0.25">
      <c r="C7" s="255" t="s">
        <v>186</v>
      </c>
      <c r="D7" s="256"/>
      <c r="E7" s="53">
        <f>(E6)*0.085</f>
        <v>85000</v>
      </c>
      <c r="F7" s="48"/>
      <c r="I7" s="49"/>
    </row>
    <row r="8" spans="2:9" x14ac:dyDescent="0.25">
      <c r="C8" s="255" t="s">
        <v>187</v>
      </c>
      <c r="D8" s="256"/>
      <c r="E8" s="53">
        <f>(E6)*0.12</f>
        <v>120000</v>
      </c>
      <c r="F8" s="48"/>
    </row>
    <row r="9" spans="2:9" x14ac:dyDescent="0.25">
      <c r="C9" s="255" t="s">
        <v>188</v>
      </c>
      <c r="D9" s="256"/>
      <c r="E9" s="53">
        <f>E6*0.209133</f>
        <v>209133</v>
      </c>
      <c r="F9" s="48"/>
    </row>
    <row r="10" spans="2:9" x14ac:dyDescent="0.25">
      <c r="C10" s="255" t="s">
        <v>189</v>
      </c>
      <c r="D10" s="256"/>
      <c r="E10" s="53">
        <f>E6*0.09</f>
        <v>90000</v>
      </c>
      <c r="F10" s="48"/>
    </row>
    <row r="11" spans="2:9" ht="15.75" thickBot="1" x14ac:dyDescent="0.3">
      <c r="C11" s="253" t="s">
        <v>190</v>
      </c>
      <c r="D11" s="254"/>
      <c r="E11" s="54">
        <f>E6*0.00522</f>
        <v>5220</v>
      </c>
      <c r="F11" s="48"/>
    </row>
    <row r="12" spans="2:9" ht="15.75" thickBot="1" x14ac:dyDescent="0.3">
      <c r="E12" s="34"/>
      <c r="F12" s="48"/>
    </row>
    <row r="13" spans="2:9" ht="15.75" thickBot="1" x14ac:dyDescent="0.3">
      <c r="C13" s="246" t="s">
        <v>191</v>
      </c>
      <c r="D13" s="247"/>
      <c r="E13" s="55">
        <f>SUM(E6:E11)</f>
        <v>1509353</v>
      </c>
      <c r="F13" s="52">
        <f>E13*12</f>
        <v>18112236</v>
      </c>
      <c r="G13" s="34"/>
    </row>
    <row r="14" spans="2:9" ht="15.75" thickBot="1" x14ac:dyDescent="0.3"/>
    <row r="15" spans="2:9" ht="15.75" thickBot="1" x14ac:dyDescent="0.3">
      <c r="B15" s="248" t="s">
        <v>181</v>
      </c>
      <c r="C15" s="249"/>
      <c r="D15" s="249"/>
      <c r="E15" s="250"/>
    </row>
    <row r="16" spans="2:9" x14ac:dyDescent="0.25">
      <c r="B16" s="38" t="s">
        <v>182</v>
      </c>
      <c r="C16" s="39" t="s">
        <v>183</v>
      </c>
      <c r="D16" s="39" t="s">
        <v>184</v>
      </c>
      <c r="E16" s="40" t="s">
        <v>185</v>
      </c>
    </row>
    <row r="17" spans="2:9" ht="15.75" thickBot="1" x14ac:dyDescent="0.3">
      <c r="B17" s="141" t="s">
        <v>210</v>
      </c>
      <c r="C17" s="41">
        <v>1</v>
      </c>
      <c r="D17" s="42">
        <v>1000000</v>
      </c>
      <c r="E17" s="43">
        <f>D17*C17</f>
        <v>1000000</v>
      </c>
    </row>
    <row r="18" spans="2:9" ht="15.75" thickBot="1" x14ac:dyDescent="0.3">
      <c r="B18" s="44" t="s">
        <v>33</v>
      </c>
      <c r="C18" s="45">
        <f>SUM(C17:C17)</f>
        <v>1</v>
      </c>
      <c r="D18" s="46">
        <f>SUM(D17:D17)</f>
        <v>1000000</v>
      </c>
      <c r="E18" s="47">
        <f>SUM(E17:E17)</f>
        <v>1000000</v>
      </c>
      <c r="F18" s="48"/>
    </row>
    <row r="19" spans="2:9" x14ac:dyDescent="0.25">
      <c r="C19" s="251" t="s">
        <v>186</v>
      </c>
      <c r="D19" s="252"/>
      <c r="E19" s="43">
        <f>(E18)*0.085</f>
        <v>85000</v>
      </c>
      <c r="F19" s="48"/>
      <c r="I19" s="49"/>
    </row>
    <row r="20" spans="2:9" x14ac:dyDescent="0.25">
      <c r="C20" s="242" t="s">
        <v>187</v>
      </c>
      <c r="D20" s="243"/>
      <c r="E20" s="43">
        <f>(E18)*0.12</f>
        <v>120000</v>
      </c>
      <c r="F20" s="48"/>
    </row>
    <row r="21" spans="2:9" x14ac:dyDescent="0.25">
      <c r="C21" s="242" t="s">
        <v>188</v>
      </c>
      <c r="D21" s="243"/>
      <c r="E21" s="43">
        <f>E18*0.209133</f>
        <v>209133</v>
      </c>
      <c r="F21" s="48"/>
    </row>
    <row r="22" spans="2:9" x14ac:dyDescent="0.25">
      <c r="C22" s="242" t="s">
        <v>189</v>
      </c>
      <c r="D22" s="243"/>
      <c r="E22" s="43">
        <f>E18*0.09</f>
        <v>90000</v>
      </c>
      <c r="F22" s="48"/>
    </row>
    <row r="23" spans="2:9" ht="15.75" thickBot="1" x14ac:dyDescent="0.3">
      <c r="C23" s="244" t="s">
        <v>190</v>
      </c>
      <c r="D23" s="245"/>
      <c r="E23" s="50">
        <f>E18*0.00522</f>
        <v>5220</v>
      </c>
      <c r="F23" s="48"/>
    </row>
    <row r="24" spans="2:9" ht="15.75" thickBot="1" x14ac:dyDescent="0.3">
      <c r="F24" s="48"/>
    </row>
    <row r="25" spans="2:9" ht="15.75" thickBot="1" x14ac:dyDescent="0.3">
      <c r="C25" s="246" t="s">
        <v>191</v>
      </c>
      <c r="D25" s="247"/>
      <c r="E25" s="51">
        <f>SUM(E18:E23)</f>
        <v>1509353</v>
      </c>
      <c r="F25" s="52">
        <f>E25*12</f>
        <v>18112236</v>
      </c>
    </row>
    <row r="32" spans="2:9" ht="15" customHeight="1" x14ac:dyDescent="0.25"/>
    <row r="37" ht="15" customHeight="1" x14ac:dyDescent="0.25"/>
  </sheetData>
  <mergeCells count="14">
    <mergeCell ref="C11:D11"/>
    <mergeCell ref="C13:D13"/>
    <mergeCell ref="B3:E3"/>
    <mergeCell ref="C7:D7"/>
    <mergeCell ref="C8:D8"/>
    <mergeCell ref="C9:D9"/>
    <mergeCell ref="C10:D10"/>
    <mergeCell ref="C22:D22"/>
    <mergeCell ref="C23:D23"/>
    <mergeCell ref="C25:D25"/>
    <mergeCell ref="B15:E15"/>
    <mergeCell ref="C19:D19"/>
    <mergeCell ref="C20:D20"/>
    <mergeCell ref="C21:D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17"/>
  <sheetViews>
    <sheetView workbookViewId="0">
      <selection activeCell="Q12" sqref="Q12"/>
    </sheetView>
  </sheetViews>
  <sheetFormatPr baseColWidth="10" defaultRowHeight="15" x14ac:dyDescent="0.25"/>
  <cols>
    <col min="1" max="1" width="11.42578125" style="33"/>
    <col min="2" max="2" width="19" style="33" bestFit="1" customWidth="1"/>
    <col min="3" max="3" width="14.5703125" style="34" customWidth="1"/>
    <col min="4" max="8" width="13" style="34" customWidth="1"/>
    <col min="9" max="9" width="21.7109375" style="33" bestFit="1" customWidth="1"/>
    <col min="10" max="15" width="11.42578125" style="33"/>
    <col min="16" max="16" width="20.28515625" style="33" bestFit="1" customWidth="1"/>
    <col min="17" max="17" width="12.5703125" style="33" bestFit="1" customWidth="1"/>
    <col min="18" max="16384" width="11.42578125" style="33"/>
  </cols>
  <sheetData>
    <row r="5" spans="2:17" s="31" customFormat="1" x14ac:dyDescent="0.25">
      <c r="B5" s="31" t="s">
        <v>152</v>
      </c>
      <c r="C5" s="32" t="s">
        <v>153</v>
      </c>
      <c r="D5" s="32" t="s">
        <v>154</v>
      </c>
      <c r="E5" s="32" t="s">
        <v>155</v>
      </c>
      <c r="F5" s="32" t="s">
        <v>156</v>
      </c>
      <c r="G5" s="32" t="s">
        <v>157</v>
      </c>
      <c r="H5" s="32" t="s">
        <v>158</v>
      </c>
      <c r="I5" s="32" t="s">
        <v>176</v>
      </c>
      <c r="J5" s="32" t="s">
        <v>159</v>
      </c>
      <c r="K5" s="32" t="s">
        <v>160</v>
      </c>
      <c r="L5" s="32" t="s">
        <v>161</v>
      </c>
      <c r="M5" s="32" t="s">
        <v>162</v>
      </c>
      <c r="N5" s="32" t="s">
        <v>163</v>
      </c>
      <c r="O5" s="32" t="s">
        <v>164</v>
      </c>
      <c r="P5" s="142" t="s">
        <v>212</v>
      </c>
      <c r="Q5" s="31" t="s">
        <v>33</v>
      </c>
    </row>
    <row r="6" spans="2:17" x14ac:dyDescent="0.25">
      <c r="B6" s="33" t="s">
        <v>165</v>
      </c>
      <c r="C6" s="34">
        <f>AVERAGE(2799000,2499000,2549000)*3</f>
        <v>7847000</v>
      </c>
      <c r="I6" s="34">
        <f>SUM(C6:H6)</f>
        <v>7847000</v>
      </c>
      <c r="Q6" s="34">
        <f t="shared" ref="Q6:Q17" si="0">SUM(I6:O6)</f>
        <v>7847000</v>
      </c>
    </row>
    <row r="7" spans="2:17" x14ac:dyDescent="0.25">
      <c r="B7" s="33" t="s">
        <v>166</v>
      </c>
      <c r="C7" s="34">
        <f>170000*2</f>
        <v>340000</v>
      </c>
      <c r="I7" s="34">
        <f t="shared" ref="I7:I17" si="1">SUM(C7:H7)</f>
        <v>340000</v>
      </c>
      <c r="Q7" s="34">
        <f t="shared" si="0"/>
        <v>340000</v>
      </c>
    </row>
    <row r="8" spans="2:17" x14ac:dyDescent="0.25">
      <c r="B8" s="33" t="s">
        <v>167</v>
      </c>
      <c r="C8" s="34">
        <f>55930*3</f>
        <v>167790</v>
      </c>
      <c r="I8" s="34">
        <f t="shared" si="1"/>
        <v>167790</v>
      </c>
      <c r="Q8" s="34">
        <f t="shared" si="0"/>
        <v>167790</v>
      </c>
    </row>
    <row r="9" spans="2:17" x14ac:dyDescent="0.25">
      <c r="B9" s="33" t="s">
        <v>168</v>
      </c>
      <c r="C9" s="34">
        <v>52063</v>
      </c>
      <c r="I9" s="34">
        <f t="shared" si="1"/>
        <v>52063</v>
      </c>
      <c r="Q9" s="34">
        <f t="shared" si="0"/>
        <v>52063</v>
      </c>
    </row>
    <row r="10" spans="2:17" x14ac:dyDescent="0.25">
      <c r="B10" s="33" t="s">
        <v>169</v>
      </c>
      <c r="C10" s="34">
        <v>266423</v>
      </c>
      <c r="I10" s="34">
        <f t="shared" si="1"/>
        <v>266423</v>
      </c>
      <c r="Q10" s="34">
        <f t="shared" si="0"/>
        <v>266423</v>
      </c>
    </row>
    <row r="11" spans="2:17" x14ac:dyDescent="0.25">
      <c r="B11" s="33" t="s">
        <v>170</v>
      </c>
      <c r="C11" s="34">
        <v>118125</v>
      </c>
      <c r="D11" s="34">
        <v>118125</v>
      </c>
      <c r="E11" s="34">
        <v>118125</v>
      </c>
      <c r="F11" s="34">
        <v>118125</v>
      </c>
      <c r="G11" s="34">
        <v>118125</v>
      </c>
      <c r="H11" s="34">
        <v>118125</v>
      </c>
      <c r="I11" s="34">
        <f t="shared" si="1"/>
        <v>708750</v>
      </c>
      <c r="J11" s="34">
        <v>118125</v>
      </c>
      <c r="K11" s="34">
        <v>118125</v>
      </c>
      <c r="L11" s="34">
        <v>118125</v>
      </c>
      <c r="M11" s="34">
        <v>118125</v>
      </c>
      <c r="N11" s="34">
        <v>118125</v>
      </c>
      <c r="O11" s="34">
        <v>118125</v>
      </c>
      <c r="P11" s="34">
        <f>SUM(J11:O11)</f>
        <v>708750</v>
      </c>
      <c r="Q11" s="34">
        <f t="shared" si="0"/>
        <v>1417500</v>
      </c>
    </row>
    <row r="12" spans="2:17" x14ac:dyDescent="0.25">
      <c r="B12" s="33" t="s">
        <v>171</v>
      </c>
      <c r="C12" s="34">
        <v>1800000</v>
      </c>
      <c r="I12" s="34">
        <f t="shared" si="1"/>
        <v>1800000</v>
      </c>
      <c r="L12" s="34">
        <v>900000</v>
      </c>
      <c r="M12" s="34"/>
      <c r="N12" s="34"/>
      <c r="O12" s="34">
        <v>900000</v>
      </c>
      <c r="P12" s="34">
        <f>SUM(J12:O12)</f>
        <v>1800000</v>
      </c>
      <c r="Q12" s="34">
        <f t="shared" si="0"/>
        <v>3600000</v>
      </c>
    </row>
    <row r="13" spans="2:17" x14ac:dyDescent="0.25">
      <c r="B13" s="33" t="s">
        <v>172</v>
      </c>
      <c r="C13" s="34">
        <f>'Presupuesto recurso humano'!E13</f>
        <v>1509353</v>
      </c>
      <c r="D13" s="34">
        <f>C13</f>
        <v>1509353</v>
      </c>
      <c r="E13" s="34">
        <f>D13</f>
        <v>1509353</v>
      </c>
      <c r="F13" s="34">
        <f>E13</f>
        <v>1509353</v>
      </c>
      <c r="G13" s="34">
        <f>F13</f>
        <v>1509353</v>
      </c>
      <c r="H13" s="34">
        <f>G13</f>
        <v>1509353</v>
      </c>
      <c r="I13" s="34">
        <f t="shared" si="1"/>
        <v>9056118</v>
      </c>
      <c r="J13" s="34">
        <f>H13</f>
        <v>1509353</v>
      </c>
      <c r="K13" s="34">
        <f>J13</f>
        <v>1509353</v>
      </c>
      <c r="L13" s="34">
        <f>K13</f>
        <v>1509353</v>
      </c>
      <c r="M13" s="34">
        <f>L13</f>
        <v>1509353</v>
      </c>
      <c r="N13" s="34">
        <f>M13</f>
        <v>1509353</v>
      </c>
      <c r="O13" s="34">
        <f>N13</f>
        <v>1509353</v>
      </c>
      <c r="P13" s="34">
        <f>SUM(J13:O13)</f>
        <v>9056118</v>
      </c>
      <c r="Q13" s="34">
        <f t="shared" si="0"/>
        <v>18112236</v>
      </c>
    </row>
    <row r="14" spans="2:17" x14ac:dyDescent="0.25">
      <c r="B14" s="33" t="s">
        <v>173</v>
      </c>
      <c r="C14" s="34">
        <v>330000</v>
      </c>
      <c r="I14" s="34">
        <f t="shared" si="1"/>
        <v>330000</v>
      </c>
      <c r="K14" s="34"/>
      <c r="L14" s="34"/>
      <c r="M14" s="34"/>
      <c r="N14" s="34"/>
      <c r="O14" s="34"/>
      <c r="Q14" s="34">
        <f t="shared" si="0"/>
        <v>330000</v>
      </c>
    </row>
    <row r="15" spans="2:17" x14ac:dyDescent="0.25">
      <c r="B15" s="33" t="s">
        <v>174</v>
      </c>
      <c r="E15" s="34">
        <f>'Presupuesto recurso humano'!E25</f>
        <v>1509353</v>
      </c>
      <c r="F15" s="34">
        <f>E15</f>
        <v>1509353</v>
      </c>
      <c r="G15" s="34">
        <f>F15</f>
        <v>1509353</v>
      </c>
      <c r="H15" s="34">
        <f>G15</f>
        <v>1509353</v>
      </c>
      <c r="I15" s="34">
        <f t="shared" si="1"/>
        <v>6037412</v>
      </c>
      <c r="J15" s="34">
        <f>H15</f>
        <v>1509353</v>
      </c>
      <c r="K15" s="34">
        <f>J15</f>
        <v>1509353</v>
      </c>
      <c r="L15" s="34">
        <f>K15</f>
        <v>1509353</v>
      </c>
      <c r="M15" s="34">
        <f>L15</f>
        <v>1509353</v>
      </c>
      <c r="N15" s="34">
        <f>M15</f>
        <v>1509353</v>
      </c>
      <c r="O15" s="34">
        <f>N15</f>
        <v>1509353</v>
      </c>
      <c r="P15" s="34">
        <f>SUM(J15:O15)</f>
        <v>9056118</v>
      </c>
      <c r="Q15" s="34">
        <f t="shared" si="0"/>
        <v>15093530</v>
      </c>
    </row>
    <row r="16" spans="2:17" x14ac:dyDescent="0.25">
      <c r="B16" s="33" t="s">
        <v>175</v>
      </c>
      <c r="F16" s="34">
        <v>1200000</v>
      </c>
      <c r="G16" s="34">
        <v>1200000</v>
      </c>
      <c r="H16" s="34">
        <v>1200000</v>
      </c>
      <c r="I16" s="34">
        <f t="shared" si="1"/>
        <v>3600000</v>
      </c>
      <c r="J16" s="34">
        <v>1200000</v>
      </c>
      <c r="K16" s="34">
        <v>1200000</v>
      </c>
      <c r="L16" s="34">
        <v>1200000</v>
      </c>
      <c r="M16" s="34">
        <v>1200000</v>
      </c>
      <c r="N16" s="34">
        <v>1200000</v>
      </c>
      <c r="O16" s="34">
        <v>1200000</v>
      </c>
      <c r="P16" s="34">
        <f>SUM(J16:O16)</f>
        <v>7200000</v>
      </c>
      <c r="Q16" s="34">
        <f t="shared" si="0"/>
        <v>10800000</v>
      </c>
    </row>
    <row r="17" spans="2:17" x14ac:dyDescent="0.25">
      <c r="B17" s="35" t="s">
        <v>33</v>
      </c>
      <c r="C17" s="34">
        <f t="shared" ref="C17:H17" si="2">SUM(C6:C16)</f>
        <v>12430754</v>
      </c>
      <c r="D17" s="34">
        <f t="shared" si="2"/>
        <v>1627478</v>
      </c>
      <c r="E17" s="34">
        <f t="shared" si="2"/>
        <v>3136831</v>
      </c>
      <c r="F17" s="34">
        <f t="shared" si="2"/>
        <v>4336831</v>
      </c>
      <c r="G17" s="34">
        <f t="shared" si="2"/>
        <v>4336831</v>
      </c>
      <c r="H17" s="34">
        <f t="shared" si="2"/>
        <v>4336831</v>
      </c>
      <c r="I17" s="34">
        <f t="shared" si="1"/>
        <v>30205556</v>
      </c>
      <c r="J17" s="34">
        <f t="shared" ref="J17:P17" si="3">SUM(J6:J16)</f>
        <v>4336831</v>
      </c>
      <c r="K17" s="34">
        <f t="shared" si="3"/>
        <v>4336831</v>
      </c>
      <c r="L17" s="34">
        <f t="shared" si="3"/>
        <v>5236831</v>
      </c>
      <c r="M17" s="34">
        <f t="shared" si="3"/>
        <v>4336831</v>
      </c>
      <c r="N17" s="34">
        <f t="shared" si="3"/>
        <v>4336831</v>
      </c>
      <c r="O17" s="34">
        <f t="shared" si="3"/>
        <v>5236831</v>
      </c>
      <c r="P17" s="34">
        <f t="shared" si="3"/>
        <v>27820986</v>
      </c>
      <c r="Q17" s="34">
        <f t="shared" si="0"/>
        <v>58026542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90"/>
  <sheetViews>
    <sheetView topLeftCell="A58" zoomScaleNormal="100" workbookViewId="0">
      <selection activeCell="H45" sqref="H45"/>
    </sheetView>
  </sheetViews>
  <sheetFormatPr baseColWidth="10" defaultRowHeight="15.75" x14ac:dyDescent="0.25"/>
  <cols>
    <col min="1" max="1" width="11.42578125" style="80"/>
    <col min="2" max="2" width="6.140625" style="80" bestFit="1" customWidth="1"/>
    <col min="3" max="3" width="35.42578125" style="83" customWidth="1"/>
    <col min="4" max="4" width="14.5703125" style="83" bestFit="1" customWidth="1"/>
    <col min="5" max="5" width="13.28515625" style="83" bestFit="1" customWidth="1"/>
    <col min="6" max="6" width="18.42578125" style="83" bestFit="1" customWidth="1"/>
    <col min="7" max="8" width="17.140625" style="83" bestFit="1" customWidth="1"/>
    <col min="9" max="9" width="12.7109375" style="83" customWidth="1"/>
    <col min="10" max="10" width="11.42578125" style="80"/>
    <col min="11" max="11" width="11.28515625" style="80" bestFit="1" customWidth="1"/>
    <col min="12" max="16384" width="11.42578125" style="80"/>
  </cols>
  <sheetData>
    <row r="1" spans="2:9" ht="16.5" thickBot="1" x14ac:dyDescent="0.3"/>
    <row r="2" spans="2:9" x14ac:dyDescent="0.25">
      <c r="B2" s="231" t="s">
        <v>18</v>
      </c>
      <c r="C2" s="232"/>
      <c r="D2" s="232"/>
      <c r="E2" s="232"/>
      <c r="F2" s="233"/>
      <c r="G2" s="80"/>
      <c r="H2" s="80"/>
      <c r="I2" s="80"/>
    </row>
    <row r="3" spans="2:9" ht="16.5" thickBot="1" x14ac:dyDescent="0.3">
      <c r="B3" s="260" t="s">
        <v>19</v>
      </c>
      <c r="C3" s="261"/>
      <c r="D3" s="261"/>
      <c r="E3" s="261"/>
      <c r="F3" s="262"/>
      <c r="G3" s="80"/>
      <c r="H3" s="80"/>
      <c r="I3" s="80"/>
    </row>
    <row r="4" spans="2:9" x14ac:dyDescent="0.25">
      <c r="B4" s="110"/>
      <c r="C4" s="95"/>
      <c r="D4" s="95"/>
      <c r="E4" s="95"/>
      <c r="F4" s="85"/>
      <c r="G4" s="80"/>
      <c r="H4" s="80"/>
      <c r="I4" s="80"/>
    </row>
    <row r="5" spans="2:9" ht="16.5" thickBot="1" x14ac:dyDescent="0.3">
      <c r="B5" s="111" t="s">
        <v>20</v>
      </c>
      <c r="C5" s="112" t="s">
        <v>21</v>
      </c>
      <c r="D5" s="112" t="s">
        <v>22</v>
      </c>
      <c r="E5" s="112" t="s">
        <v>23</v>
      </c>
      <c r="F5" s="129" t="s">
        <v>24</v>
      </c>
      <c r="G5" s="80"/>
      <c r="H5" s="80"/>
      <c r="I5" s="80"/>
    </row>
    <row r="6" spans="2:9" x14ac:dyDescent="0.25">
      <c r="B6" s="110"/>
      <c r="C6" s="95"/>
      <c r="D6" s="95"/>
      <c r="E6" s="95"/>
      <c r="F6" s="85"/>
      <c r="G6" s="80"/>
      <c r="H6" s="80"/>
      <c r="I6" s="80"/>
    </row>
    <row r="7" spans="2:9" x14ac:dyDescent="0.25">
      <c r="B7" s="114">
        <v>1</v>
      </c>
      <c r="C7" s="115" t="s">
        <v>123</v>
      </c>
      <c r="D7" s="116">
        <f>Capacidad!P48</f>
        <v>1729824</v>
      </c>
      <c r="E7" s="117">
        <f>Capacidad!$A$47</f>
        <v>0.09</v>
      </c>
      <c r="F7" s="279">
        <f>D7*E7</f>
        <v>155684.16</v>
      </c>
      <c r="G7" s="80"/>
      <c r="H7" s="80"/>
      <c r="I7" s="80"/>
    </row>
    <row r="8" spans="2:9" x14ac:dyDescent="0.25">
      <c r="B8" s="114"/>
      <c r="C8" s="115" t="s">
        <v>124</v>
      </c>
      <c r="D8" s="116">
        <v>77</v>
      </c>
      <c r="E8" s="118">
        <v>30000</v>
      </c>
      <c r="F8" s="279">
        <f>E8*D8</f>
        <v>2310000</v>
      </c>
      <c r="G8" s="80"/>
      <c r="H8" s="80"/>
      <c r="I8" s="80"/>
    </row>
    <row r="9" spans="2:9" x14ac:dyDescent="0.25">
      <c r="B9" s="114"/>
      <c r="C9" s="115" t="s">
        <v>35</v>
      </c>
      <c r="D9" s="95"/>
      <c r="E9" s="117"/>
      <c r="F9" s="280">
        <f>+F7+F8</f>
        <v>2465684.16</v>
      </c>
      <c r="G9" s="80"/>
      <c r="H9" s="80"/>
      <c r="I9" s="80"/>
    </row>
    <row r="10" spans="2:9" x14ac:dyDescent="0.25">
      <c r="B10" s="114"/>
      <c r="C10" s="115"/>
      <c r="D10" s="95"/>
      <c r="E10" s="117"/>
      <c r="F10" s="279"/>
      <c r="G10" s="80"/>
      <c r="H10" s="80"/>
      <c r="I10" s="80"/>
    </row>
    <row r="11" spans="2:9" x14ac:dyDescent="0.25">
      <c r="B11" s="114">
        <v>2</v>
      </c>
      <c r="C11" s="115" t="s">
        <v>123</v>
      </c>
      <c r="D11" s="116">
        <f>Capacidad!Q48</f>
        <v>22693985.599999998</v>
      </c>
      <c r="E11" s="117">
        <f>Capacidad!$A$47</f>
        <v>0.09</v>
      </c>
      <c r="F11" s="279">
        <f>+D11*E11</f>
        <v>2042458.7039999997</v>
      </c>
      <c r="G11" s="80"/>
      <c r="H11" s="80"/>
      <c r="I11" s="80"/>
    </row>
    <row r="12" spans="2:9" x14ac:dyDescent="0.25">
      <c r="B12" s="114"/>
      <c r="C12" s="115" t="s">
        <v>124</v>
      </c>
      <c r="D12" s="116">
        <f>Capacidad!Q57</f>
        <v>1296</v>
      </c>
      <c r="E12" s="118">
        <v>30000</v>
      </c>
      <c r="F12" s="279">
        <f>+D12*E12</f>
        <v>38880000</v>
      </c>
      <c r="G12" s="80"/>
      <c r="H12" s="80"/>
      <c r="I12" s="80"/>
    </row>
    <row r="13" spans="2:9" x14ac:dyDescent="0.25">
      <c r="B13" s="114"/>
      <c r="C13" s="115" t="s">
        <v>35</v>
      </c>
      <c r="D13" s="95"/>
      <c r="E13" s="117"/>
      <c r="F13" s="280">
        <f>+F11+F12</f>
        <v>40922458.703999996</v>
      </c>
      <c r="G13" s="80"/>
      <c r="H13" s="80"/>
      <c r="I13" s="80"/>
    </row>
    <row r="14" spans="2:9" x14ac:dyDescent="0.25">
      <c r="B14" s="114"/>
      <c r="C14" s="115"/>
      <c r="D14" s="95"/>
      <c r="E14" s="117"/>
      <c r="F14" s="279"/>
      <c r="G14" s="80"/>
      <c r="H14" s="80"/>
      <c r="I14" s="80"/>
    </row>
    <row r="15" spans="2:9" x14ac:dyDescent="0.25">
      <c r="B15" s="114">
        <v>3</v>
      </c>
      <c r="C15" s="115" t="s">
        <v>123</v>
      </c>
      <c r="D15" s="116">
        <f>Capacidad!R48</f>
        <v>41261792</v>
      </c>
      <c r="E15" s="117">
        <f>Capacidad!$A$47</f>
        <v>0.09</v>
      </c>
      <c r="F15" s="279">
        <f>+D15*E15</f>
        <v>3713561.28</v>
      </c>
      <c r="G15" s="80"/>
      <c r="H15" s="80"/>
      <c r="I15" s="80"/>
    </row>
    <row r="16" spans="2:9" x14ac:dyDescent="0.25">
      <c r="B16" s="114"/>
      <c r="C16" s="115" t="s">
        <v>124</v>
      </c>
      <c r="D16" s="116">
        <f>Capacidad!R57</f>
        <v>3888</v>
      </c>
      <c r="E16" s="118">
        <v>30000</v>
      </c>
      <c r="F16" s="279">
        <f>+D16*E16</f>
        <v>116640000</v>
      </c>
      <c r="G16" s="80"/>
      <c r="H16" s="80"/>
      <c r="I16" s="80"/>
    </row>
    <row r="17" spans="2:9" x14ac:dyDescent="0.25">
      <c r="B17" s="110"/>
      <c r="C17" s="115" t="s">
        <v>35</v>
      </c>
      <c r="D17" s="95"/>
      <c r="E17" s="95"/>
      <c r="F17" s="280">
        <f>+F15+F16</f>
        <v>120353561.28</v>
      </c>
      <c r="G17" s="80"/>
      <c r="H17" s="80"/>
      <c r="I17" s="80"/>
    </row>
    <row r="18" spans="2:9" x14ac:dyDescent="0.25">
      <c r="B18" s="114"/>
      <c r="C18" s="115"/>
      <c r="D18" s="95"/>
      <c r="E18" s="117"/>
      <c r="F18" s="279"/>
      <c r="G18" s="80"/>
      <c r="H18" s="80"/>
      <c r="I18" s="80"/>
    </row>
    <row r="19" spans="2:9" x14ac:dyDescent="0.25">
      <c r="B19" s="114">
        <v>4</v>
      </c>
      <c r="C19" s="115" t="s">
        <v>123</v>
      </c>
      <c r="D19" s="116">
        <f>Capacidad!S48</f>
        <v>78397404.799999997</v>
      </c>
      <c r="E19" s="117">
        <f>Capacidad!$A$47</f>
        <v>0.09</v>
      </c>
      <c r="F19" s="279">
        <f>+D19*E19</f>
        <v>7055766.4319999991</v>
      </c>
      <c r="G19" s="80"/>
      <c r="H19" s="80"/>
      <c r="I19" s="80"/>
    </row>
    <row r="20" spans="2:9" x14ac:dyDescent="0.25">
      <c r="B20" s="114"/>
      <c r="C20" s="115" t="s">
        <v>124</v>
      </c>
      <c r="D20" s="116">
        <f>Capacidad!S57</f>
        <v>11664</v>
      </c>
      <c r="E20" s="118">
        <v>30000</v>
      </c>
      <c r="F20" s="279">
        <f>+D20*E20</f>
        <v>349920000</v>
      </c>
      <c r="G20" s="80"/>
      <c r="H20" s="80"/>
      <c r="I20" s="80"/>
    </row>
    <row r="21" spans="2:9" x14ac:dyDescent="0.25">
      <c r="B21" s="114"/>
      <c r="C21" s="115" t="s">
        <v>35</v>
      </c>
      <c r="D21" s="95"/>
      <c r="E21" s="117"/>
      <c r="F21" s="280">
        <f>+F19+F20</f>
        <v>356975766.43199998</v>
      </c>
      <c r="G21" s="80"/>
      <c r="H21" s="80"/>
      <c r="I21" s="80"/>
    </row>
    <row r="22" spans="2:9" x14ac:dyDescent="0.25">
      <c r="B22" s="114"/>
      <c r="C22" s="115"/>
      <c r="D22" s="95"/>
      <c r="E22" s="117"/>
      <c r="F22" s="279"/>
      <c r="G22" s="80"/>
      <c r="H22" s="80"/>
      <c r="I22" s="80"/>
    </row>
    <row r="23" spans="2:9" x14ac:dyDescent="0.25">
      <c r="B23" s="114">
        <v>5</v>
      </c>
      <c r="C23" s="115" t="s">
        <v>123</v>
      </c>
      <c r="D23" s="116">
        <f>Capacidad!T48</f>
        <v>152668630.39999998</v>
      </c>
      <c r="E23" s="117">
        <f>Capacidad!$A$47</f>
        <v>0.09</v>
      </c>
      <c r="F23" s="279">
        <f>+D23*E23</f>
        <v>13740176.735999998</v>
      </c>
      <c r="G23" s="80"/>
      <c r="H23" s="80"/>
      <c r="I23" s="80"/>
    </row>
    <row r="24" spans="2:9" x14ac:dyDescent="0.25">
      <c r="B24" s="114"/>
      <c r="C24" s="115" t="s">
        <v>124</v>
      </c>
      <c r="D24" s="116">
        <f>Capacidad!T57</f>
        <v>27216</v>
      </c>
      <c r="E24" s="118">
        <v>30000</v>
      </c>
      <c r="F24" s="279">
        <f>+D24*E24</f>
        <v>816480000</v>
      </c>
      <c r="G24" s="80"/>
      <c r="H24" s="80"/>
      <c r="I24" s="80"/>
    </row>
    <row r="25" spans="2:9" x14ac:dyDescent="0.25">
      <c r="B25" s="114"/>
      <c r="C25" s="115" t="s">
        <v>35</v>
      </c>
      <c r="D25" s="95"/>
      <c r="E25" s="117"/>
      <c r="F25" s="280">
        <f>+F23+F24</f>
        <v>830220176.73599994</v>
      </c>
      <c r="G25" s="80"/>
      <c r="H25" s="80"/>
      <c r="I25" s="80"/>
    </row>
    <row r="26" spans="2:9" x14ac:dyDescent="0.25">
      <c r="B26" s="114"/>
      <c r="C26" s="115"/>
      <c r="D26" s="95"/>
      <c r="E26" s="117"/>
      <c r="F26" s="85"/>
      <c r="G26" s="80"/>
      <c r="H26" s="80"/>
      <c r="I26" s="80"/>
    </row>
    <row r="27" spans="2:9" ht="16.5" thickBot="1" x14ac:dyDescent="0.3">
      <c r="B27" s="119"/>
      <c r="C27" s="120"/>
      <c r="D27" s="120"/>
      <c r="E27" s="120"/>
      <c r="F27" s="113"/>
      <c r="G27" s="80"/>
      <c r="H27" s="80"/>
      <c r="I27" s="80"/>
    </row>
    <row r="28" spans="2:9" ht="16.5" thickBot="1" x14ac:dyDescent="0.3"/>
    <row r="29" spans="2:9" x14ac:dyDescent="0.25">
      <c r="C29" s="231" t="s">
        <v>223</v>
      </c>
      <c r="D29" s="232"/>
      <c r="E29" s="232"/>
      <c r="F29" s="232"/>
      <c r="G29" s="232"/>
      <c r="H29" s="233"/>
      <c r="I29" s="83" t="s">
        <v>213</v>
      </c>
    </row>
    <row r="30" spans="2:9" x14ac:dyDescent="0.25">
      <c r="C30" s="114"/>
      <c r="D30" s="115"/>
      <c r="E30" s="115"/>
      <c r="F30" s="95"/>
      <c r="G30" s="95"/>
      <c r="H30" s="85"/>
    </row>
    <row r="31" spans="2:9" s="135" customFormat="1" x14ac:dyDescent="0.25">
      <c r="B31" s="140"/>
      <c r="C31" s="136"/>
      <c r="D31" s="137" t="s">
        <v>26</v>
      </c>
      <c r="E31" s="137" t="s">
        <v>28</v>
      </c>
      <c r="F31" s="137" t="s">
        <v>27</v>
      </c>
      <c r="G31" s="137" t="s">
        <v>139</v>
      </c>
      <c r="H31" s="138" t="s">
        <v>140</v>
      </c>
    </row>
    <row r="32" spans="2:9" x14ac:dyDescent="0.25">
      <c r="C32" s="84"/>
      <c r="D32" s="95"/>
      <c r="E32" s="95"/>
      <c r="F32" s="95"/>
      <c r="G32" s="95"/>
      <c r="H32" s="85"/>
    </row>
    <row r="33" spans="3:8" x14ac:dyDescent="0.25">
      <c r="C33" s="84" t="s">
        <v>216</v>
      </c>
      <c r="D33" s="122"/>
      <c r="E33" s="95"/>
      <c r="F33" s="95">
        <f>Capacidad!P13</f>
        <v>36</v>
      </c>
      <c r="G33" s="95">
        <f>Capacidad!Q13</f>
        <v>72</v>
      </c>
      <c r="H33" s="85">
        <f>Capacidad!R13</f>
        <v>216</v>
      </c>
    </row>
    <row r="34" spans="3:8" x14ac:dyDescent="0.25">
      <c r="C34" s="84" t="s">
        <v>217</v>
      </c>
      <c r="D34" s="122"/>
      <c r="E34" s="95"/>
      <c r="F34" s="95">
        <f>F33*12</f>
        <v>432</v>
      </c>
      <c r="G34" s="95">
        <f>G33*12</f>
        <v>864</v>
      </c>
      <c r="H34" s="85">
        <f>H33*12</f>
        <v>2592</v>
      </c>
    </row>
    <row r="35" spans="3:8" x14ac:dyDescent="0.25">
      <c r="C35" s="84" t="s">
        <v>222</v>
      </c>
      <c r="D35" s="122"/>
      <c r="E35" s="95"/>
      <c r="F35" s="144">
        <f>F34*15000</f>
        <v>6480000</v>
      </c>
      <c r="G35" s="144">
        <f>G34*15000</f>
        <v>12960000</v>
      </c>
      <c r="H35" s="277">
        <f>H34*15000</f>
        <v>38880000</v>
      </c>
    </row>
    <row r="36" spans="3:8" x14ac:dyDescent="0.25">
      <c r="C36" s="84"/>
      <c r="D36" s="95"/>
      <c r="E36" s="95"/>
      <c r="F36" s="95"/>
      <c r="G36" s="95"/>
      <c r="H36" s="85"/>
    </row>
    <row r="37" spans="3:8" x14ac:dyDescent="0.25">
      <c r="C37" s="84" t="s">
        <v>219</v>
      </c>
      <c r="D37" s="122"/>
      <c r="E37" s="95"/>
      <c r="F37" s="95"/>
      <c r="G37" s="95">
        <f>Capacidad!P13</f>
        <v>36</v>
      </c>
      <c r="H37" s="85">
        <f>Capacidad!Q13</f>
        <v>72</v>
      </c>
    </row>
    <row r="38" spans="3:8" x14ac:dyDescent="0.25">
      <c r="C38" s="84" t="s">
        <v>217</v>
      </c>
      <c r="D38" s="122"/>
      <c r="E38" s="95"/>
      <c r="F38" s="95"/>
      <c r="G38" s="95">
        <f>G37*12</f>
        <v>432</v>
      </c>
      <c r="H38" s="85">
        <f>H37*12</f>
        <v>864</v>
      </c>
    </row>
    <row r="39" spans="3:8" x14ac:dyDescent="0.25">
      <c r="C39" s="84" t="s">
        <v>218</v>
      </c>
      <c r="D39" s="122"/>
      <c r="E39" s="95"/>
      <c r="F39" s="95"/>
      <c r="G39" s="144">
        <f>G38*20000</f>
        <v>8640000</v>
      </c>
      <c r="H39" s="277">
        <f>H38*20000</f>
        <v>17280000</v>
      </c>
    </row>
    <row r="40" spans="3:8" x14ac:dyDescent="0.25">
      <c r="C40" s="84"/>
      <c r="D40" s="95"/>
      <c r="E40" s="95"/>
      <c r="F40" s="95"/>
      <c r="G40" s="95"/>
      <c r="H40" s="85"/>
    </row>
    <row r="41" spans="3:8" x14ac:dyDescent="0.25">
      <c r="C41" s="84" t="s">
        <v>221</v>
      </c>
      <c r="D41" s="95"/>
      <c r="E41" s="95"/>
      <c r="F41" s="95"/>
      <c r="G41" s="95"/>
      <c r="H41" s="85">
        <f>Capacidad!P13</f>
        <v>36</v>
      </c>
    </row>
    <row r="42" spans="3:8" x14ac:dyDescent="0.25">
      <c r="C42" s="84" t="s">
        <v>217</v>
      </c>
      <c r="D42" s="95"/>
      <c r="E42" s="95"/>
      <c r="F42" s="95"/>
      <c r="G42" s="95"/>
      <c r="H42" s="85">
        <f>H41*12</f>
        <v>432</v>
      </c>
    </row>
    <row r="43" spans="3:8" x14ac:dyDescent="0.25">
      <c r="C43" s="84" t="s">
        <v>220</v>
      </c>
      <c r="D43" s="95"/>
      <c r="E43" s="95"/>
      <c r="F43" s="95"/>
      <c r="G43" s="95"/>
      <c r="H43" s="277">
        <f>H42*30000</f>
        <v>12960000</v>
      </c>
    </row>
    <row r="44" spans="3:8" x14ac:dyDescent="0.25">
      <c r="C44" s="84"/>
      <c r="D44" s="95"/>
      <c r="E44" s="95"/>
      <c r="F44" s="95"/>
      <c r="G44" s="95"/>
      <c r="H44" s="85"/>
    </row>
    <row r="45" spans="3:8" x14ac:dyDescent="0.25">
      <c r="C45" s="127" t="s">
        <v>35</v>
      </c>
      <c r="D45" s="115">
        <f>D35+D39+D43</f>
        <v>0</v>
      </c>
      <c r="E45" s="115">
        <f>E35+E39+E43</f>
        <v>0</v>
      </c>
      <c r="F45" s="146">
        <f>F35+F39+F43</f>
        <v>6480000</v>
      </c>
      <c r="G45" s="146">
        <f>G35+G39+G43</f>
        <v>21600000</v>
      </c>
      <c r="H45" s="278">
        <f>H35+H39+H43</f>
        <v>69120000</v>
      </c>
    </row>
    <row r="46" spans="3:8" ht="16.5" thickBot="1" x14ac:dyDescent="0.3">
      <c r="C46" s="130"/>
      <c r="D46" s="120"/>
      <c r="E46" s="120"/>
      <c r="F46" s="120"/>
      <c r="G46" s="120"/>
      <c r="H46" s="113"/>
    </row>
    <row r="48" spans="3:8" ht="16.5" thickBot="1" x14ac:dyDescent="0.3"/>
    <row r="49" spans="2:9" ht="16.5" thickBot="1" x14ac:dyDescent="0.3">
      <c r="C49" s="83" t="s">
        <v>205</v>
      </c>
      <c r="D49" s="121">
        <v>0.1</v>
      </c>
    </row>
    <row r="50" spans="2:9" ht="16.5" thickBot="1" x14ac:dyDescent="0.3"/>
    <row r="51" spans="2:9" x14ac:dyDescent="0.25">
      <c r="C51" s="231" t="s">
        <v>90</v>
      </c>
      <c r="D51" s="232"/>
      <c r="E51" s="232"/>
      <c r="F51" s="232"/>
      <c r="G51" s="232"/>
      <c r="H51" s="233"/>
      <c r="I51" s="83" t="s">
        <v>213</v>
      </c>
    </row>
    <row r="52" spans="2:9" x14ac:dyDescent="0.25">
      <c r="C52" s="114"/>
      <c r="D52" s="115"/>
      <c r="E52" s="115"/>
      <c r="F52" s="95"/>
      <c r="G52" s="95"/>
      <c r="H52" s="85"/>
    </row>
    <row r="53" spans="2:9" s="135" customFormat="1" x14ac:dyDescent="0.25">
      <c r="B53" s="140"/>
      <c r="C53" s="136"/>
      <c r="D53" s="137" t="s">
        <v>26</v>
      </c>
      <c r="E53" s="137" t="s">
        <v>28</v>
      </c>
      <c r="F53" s="137" t="s">
        <v>27</v>
      </c>
      <c r="G53" s="137" t="s">
        <v>139</v>
      </c>
      <c r="H53" s="138" t="s">
        <v>140</v>
      </c>
    </row>
    <row r="54" spans="2:9" x14ac:dyDescent="0.25">
      <c r="C54" s="110"/>
      <c r="E54" s="95"/>
      <c r="F54" s="95"/>
      <c r="G54" s="95"/>
      <c r="H54" s="85"/>
    </row>
    <row r="55" spans="2:9" x14ac:dyDescent="0.25">
      <c r="C55" s="84" t="s">
        <v>204</v>
      </c>
      <c r="D55" s="124">
        <f>'Gastos primer año'!Q13</f>
        <v>18112236</v>
      </c>
      <c r="E55" s="124">
        <f>+D55*(1+$D$49)</f>
        <v>19923459.600000001</v>
      </c>
      <c r="F55" s="124">
        <f>+E55*(1+$D$49)</f>
        <v>21915805.560000002</v>
      </c>
      <c r="G55" s="124">
        <f>+F55*(1+$D$49)</f>
        <v>24107386.116000004</v>
      </c>
      <c r="H55" s="125">
        <f>+G55*(1+$D$49)</f>
        <v>26518124.727600008</v>
      </c>
    </row>
    <row r="56" spans="2:9" x14ac:dyDescent="0.25">
      <c r="C56" s="114"/>
      <c r="D56" s="124"/>
      <c r="E56" s="95"/>
      <c r="F56" s="95"/>
      <c r="G56" s="95"/>
      <c r="H56" s="85"/>
    </row>
    <row r="57" spans="2:9" ht="16.5" thickBot="1" x14ac:dyDescent="0.3">
      <c r="C57" s="126" t="s">
        <v>35</v>
      </c>
      <c r="D57" s="112">
        <f>SUM(D53:D56)</f>
        <v>18112236</v>
      </c>
      <c r="E57" s="112">
        <f>SUM(E53:E56)</f>
        <v>19923459.600000001</v>
      </c>
      <c r="F57" s="112">
        <f>SUM(F53:F56)</f>
        <v>21915805.560000002</v>
      </c>
      <c r="G57" s="112">
        <f>SUM(G53:G56)</f>
        <v>24107386.116000004</v>
      </c>
      <c r="H57" s="129">
        <f>SUM(H53:H56)</f>
        <v>26518124.727600008</v>
      </c>
    </row>
    <row r="59" spans="2:9" ht="16.5" thickBot="1" x14ac:dyDescent="0.3"/>
    <row r="60" spans="2:9" x14ac:dyDescent="0.25">
      <c r="C60" s="231" t="s">
        <v>29</v>
      </c>
      <c r="D60" s="232"/>
      <c r="E60" s="232"/>
      <c r="F60" s="232"/>
      <c r="G60" s="232"/>
      <c r="H60" s="233"/>
      <c r="I60" s="80" t="s">
        <v>209</v>
      </c>
    </row>
    <row r="61" spans="2:9" x14ac:dyDescent="0.25">
      <c r="B61" s="122"/>
      <c r="C61" s="84"/>
      <c r="D61" s="115"/>
      <c r="E61" s="95"/>
      <c r="F61" s="95"/>
      <c r="G61" s="95"/>
      <c r="H61" s="85"/>
      <c r="I61" s="95"/>
    </row>
    <row r="62" spans="2:9" s="135" customFormat="1" x14ac:dyDescent="0.25">
      <c r="B62" s="140"/>
      <c r="C62" s="136"/>
      <c r="D62" s="137" t="s">
        <v>26</v>
      </c>
      <c r="E62" s="137" t="s">
        <v>28</v>
      </c>
      <c r="F62" s="137" t="s">
        <v>27</v>
      </c>
      <c r="G62" s="137" t="s">
        <v>139</v>
      </c>
      <c r="H62" s="138" t="s">
        <v>140</v>
      </c>
    </row>
    <row r="63" spans="2:9" x14ac:dyDescent="0.25">
      <c r="B63" s="122"/>
      <c r="C63" s="84"/>
      <c r="D63" s="115"/>
      <c r="E63" s="115"/>
      <c r="F63" s="115"/>
      <c r="G63" s="115"/>
      <c r="H63" s="123"/>
      <c r="I63" s="80"/>
    </row>
    <row r="64" spans="2:9" x14ac:dyDescent="0.25">
      <c r="B64" s="122"/>
      <c r="C64" s="84" t="s">
        <v>168</v>
      </c>
      <c r="D64" s="95">
        <f>'Gastos primer año'!Q9</f>
        <v>52063</v>
      </c>
      <c r="E64" s="95">
        <f>D64*1.1</f>
        <v>57269.3</v>
      </c>
      <c r="F64" s="95">
        <f>(E64*1.1)</f>
        <v>62996.23000000001</v>
      </c>
      <c r="G64" s="95">
        <f>F64*1.1</f>
        <v>69295.853000000017</v>
      </c>
      <c r="H64" s="85">
        <f>(G64*1.1)</f>
        <v>76225.438300000023</v>
      </c>
      <c r="I64" s="80"/>
    </row>
    <row r="65" spans="2:9" x14ac:dyDescent="0.25">
      <c r="B65" s="122"/>
      <c r="C65" s="84" t="s">
        <v>169</v>
      </c>
      <c r="D65" s="95">
        <f>'Gastos primer año'!Q10</f>
        <v>266423</v>
      </c>
      <c r="E65" s="95">
        <f>D65*1.1</f>
        <v>293065.30000000005</v>
      </c>
      <c r="F65" s="95">
        <f>(E65*1.1)*3</f>
        <v>967115.49000000022</v>
      </c>
      <c r="G65" s="95">
        <f>F65*1.1</f>
        <v>1063827.0390000003</v>
      </c>
      <c r="H65" s="85">
        <f>(G65*1.1)*2</f>
        <v>2340419.4858000008</v>
      </c>
      <c r="I65" s="80"/>
    </row>
    <row r="66" spans="2:9" x14ac:dyDescent="0.25">
      <c r="B66" s="122"/>
      <c r="C66" s="84" t="s">
        <v>170</v>
      </c>
      <c r="D66" s="95">
        <f>'Gastos primer año'!Q11</f>
        <v>1417500</v>
      </c>
      <c r="E66" s="95">
        <f>D66*1.1</f>
        <v>1559250.0000000002</v>
      </c>
      <c r="F66" s="95">
        <f>(E66*1.1)*3</f>
        <v>5145525.0000000019</v>
      </c>
      <c r="G66" s="95">
        <f>F66*1.1</f>
        <v>5660077.5000000028</v>
      </c>
      <c r="H66" s="85">
        <f>(G66*1.1)*2</f>
        <v>12452170.500000007</v>
      </c>
      <c r="I66" s="80"/>
    </row>
    <row r="67" spans="2:9" x14ac:dyDescent="0.25">
      <c r="B67" s="122"/>
      <c r="C67" s="127"/>
      <c r="D67" s="95"/>
      <c r="E67" s="95"/>
      <c r="F67" s="95"/>
      <c r="G67" s="95"/>
      <c r="H67" s="85"/>
      <c r="I67" s="80"/>
    </row>
    <row r="68" spans="2:9" ht="16.5" thickBot="1" x14ac:dyDescent="0.3">
      <c r="B68" s="122"/>
      <c r="C68" s="126" t="s">
        <v>30</v>
      </c>
      <c r="D68" s="112">
        <f>SUM(D64:D67)</f>
        <v>1735986</v>
      </c>
      <c r="E68" s="112">
        <f>SUM(E64:E67)</f>
        <v>1909584.6000000003</v>
      </c>
      <c r="F68" s="131">
        <f>SUM(F64:F67)</f>
        <v>6175636.7200000025</v>
      </c>
      <c r="G68" s="131">
        <f>SUM(G64:G67)</f>
        <v>6793200.3920000028</v>
      </c>
      <c r="H68" s="129">
        <f>SUM(H64:H67)</f>
        <v>14868815.424100008</v>
      </c>
      <c r="I68" s="80"/>
    </row>
    <row r="69" spans="2:9" x14ac:dyDescent="0.25">
      <c r="B69" s="122"/>
      <c r="C69" s="115"/>
      <c r="D69" s="95"/>
      <c r="E69" s="95"/>
      <c r="F69" s="128"/>
      <c r="G69" s="128"/>
      <c r="H69" s="95"/>
      <c r="I69" s="80"/>
    </row>
    <row r="70" spans="2:9" ht="16.5" thickBot="1" x14ac:dyDescent="0.3">
      <c r="B70" s="122"/>
      <c r="C70" s="95"/>
      <c r="D70" s="95"/>
      <c r="E70" s="95"/>
      <c r="F70" s="95"/>
      <c r="G70" s="95"/>
      <c r="H70" s="95"/>
      <c r="I70" s="95"/>
    </row>
    <row r="71" spans="2:9" x14ac:dyDescent="0.25">
      <c r="C71" s="257" t="s">
        <v>122</v>
      </c>
      <c r="D71" s="258"/>
      <c r="E71" s="258"/>
      <c r="F71" s="258"/>
      <c r="G71" s="258"/>
      <c r="H71" s="259"/>
      <c r="I71" s="83" t="s">
        <v>214</v>
      </c>
    </row>
    <row r="72" spans="2:9" x14ac:dyDescent="0.25">
      <c r="C72" s="84"/>
      <c r="D72" s="95"/>
      <c r="E72" s="95"/>
      <c r="F72" s="95"/>
      <c r="G72" s="95"/>
      <c r="H72" s="85"/>
    </row>
    <row r="73" spans="2:9" s="135" customFormat="1" x14ac:dyDescent="0.25">
      <c r="C73" s="136"/>
      <c r="D73" s="137" t="s">
        <v>26</v>
      </c>
      <c r="E73" s="137" t="s">
        <v>28</v>
      </c>
      <c r="F73" s="137" t="s">
        <v>27</v>
      </c>
      <c r="G73" s="137" t="s">
        <v>139</v>
      </c>
      <c r="H73" s="138" t="s">
        <v>140</v>
      </c>
      <c r="I73" s="139"/>
    </row>
    <row r="74" spans="2:9" x14ac:dyDescent="0.25">
      <c r="C74" s="84"/>
      <c r="D74" s="95"/>
      <c r="E74" s="95"/>
      <c r="F74" s="95"/>
      <c r="G74" s="95"/>
      <c r="H74" s="85"/>
    </row>
    <row r="75" spans="2:9" x14ac:dyDescent="0.25">
      <c r="C75" s="84" t="s">
        <v>177</v>
      </c>
      <c r="D75" s="95">
        <f>'Gastos primer año'!Q12</f>
        <v>3600000</v>
      </c>
      <c r="E75" s="95">
        <f>('Gastos primer año'!I12)*1.1</f>
        <v>1980000.0000000002</v>
      </c>
      <c r="F75" s="95">
        <f>+E75*1.1</f>
        <v>2178000.0000000005</v>
      </c>
      <c r="G75" s="95">
        <f>+F75*1.1</f>
        <v>2395800.0000000009</v>
      </c>
      <c r="H75" s="85">
        <f>+G75*1.1</f>
        <v>2635380.0000000014</v>
      </c>
    </row>
    <row r="76" spans="2:9" x14ac:dyDescent="0.25">
      <c r="C76" s="84" t="s">
        <v>34</v>
      </c>
      <c r="D76" s="95">
        <f>('Gastos primer año'!$C$6+'Gastos primer año'!$C$7+'Gastos primer año'!$C$8)/7</f>
        <v>1193541.4285714286</v>
      </c>
      <c r="E76" s="95">
        <f>('Gastos primer año'!$C$6+'Gastos primer año'!$C$7+'Gastos primer año'!$C$8)/7</f>
        <v>1193541.4285714286</v>
      </c>
      <c r="F76" s="95">
        <f>('Gastos primer año'!$C$6+'Gastos primer año'!$C$7+'Gastos primer año'!$C$8)/7</f>
        <v>1193541.4285714286</v>
      </c>
      <c r="G76" s="95">
        <f>('Gastos primer año'!$C$6+'Gastos primer año'!$C$7+'Gastos primer año'!$C$8)/7</f>
        <v>1193541.4285714286</v>
      </c>
      <c r="H76" s="85">
        <f>('Gastos primer año'!$C$6+'Gastos primer año'!$C$7+'Gastos primer año'!$C$8)/7</f>
        <v>1193541.4285714286</v>
      </c>
    </row>
    <row r="77" spans="2:9" x14ac:dyDescent="0.25">
      <c r="C77" s="127"/>
      <c r="D77" s="95"/>
      <c r="E77" s="95"/>
      <c r="F77" s="95"/>
      <c r="G77" s="95"/>
      <c r="H77" s="85"/>
    </row>
    <row r="78" spans="2:9" ht="16.5" thickBot="1" x14ac:dyDescent="0.3">
      <c r="C78" s="126" t="s">
        <v>35</v>
      </c>
      <c r="D78" s="112">
        <f>SUM(D75:D77)</f>
        <v>4793541.4285714291</v>
      </c>
      <c r="E78" s="112">
        <f>SUM(E75:E77)</f>
        <v>3173541.4285714291</v>
      </c>
      <c r="F78" s="112">
        <f>SUM(F75:F77)</f>
        <v>3371541.4285714291</v>
      </c>
      <c r="G78" s="112">
        <f>SUM(G75:G77)</f>
        <v>3589341.4285714296</v>
      </c>
      <c r="H78" s="129">
        <f>SUM(H75:H77)</f>
        <v>3828921.42857143</v>
      </c>
    </row>
    <row r="79" spans="2:9" x14ac:dyDescent="0.25">
      <c r="C79" s="95"/>
      <c r="D79" s="95"/>
      <c r="E79" s="95"/>
      <c r="F79" s="95"/>
      <c r="G79" s="95"/>
      <c r="H79" s="95"/>
    </row>
    <row r="80" spans="2:9" ht="16.5" thickBot="1" x14ac:dyDescent="0.3">
      <c r="C80" s="95"/>
      <c r="D80" s="95"/>
      <c r="E80" s="95"/>
      <c r="F80" s="95"/>
      <c r="G80" s="95"/>
      <c r="H80" s="95"/>
    </row>
    <row r="81" spans="3:9" x14ac:dyDescent="0.25">
      <c r="C81" s="257" t="s">
        <v>78</v>
      </c>
      <c r="D81" s="258"/>
      <c r="E81" s="258"/>
      <c r="F81" s="258"/>
      <c r="G81" s="258"/>
      <c r="H81" s="259"/>
      <c r="I81" s="83" t="s">
        <v>215</v>
      </c>
    </row>
    <row r="82" spans="3:9" x14ac:dyDescent="0.25">
      <c r="C82" s="84"/>
      <c r="D82" s="95"/>
      <c r="E82" s="95"/>
      <c r="F82" s="95"/>
      <c r="G82" s="95"/>
      <c r="H82" s="85"/>
    </row>
    <row r="83" spans="3:9" s="135" customFormat="1" x14ac:dyDescent="0.25">
      <c r="C83" s="136"/>
      <c r="D83" s="137" t="s">
        <v>26</v>
      </c>
      <c r="E83" s="137" t="s">
        <v>28</v>
      </c>
      <c r="F83" s="137" t="s">
        <v>27</v>
      </c>
      <c r="G83" s="137" t="s">
        <v>139</v>
      </c>
      <c r="H83" s="138" t="s">
        <v>140</v>
      </c>
      <c r="I83" s="139"/>
    </row>
    <row r="84" spans="3:9" x14ac:dyDescent="0.25">
      <c r="C84" s="84"/>
      <c r="D84" s="95"/>
      <c r="E84" s="95"/>
      <c r="F84" s="95"/>
      <c r="G84" s="95"/>
      <c r="H84" s="85"/>
    </row>
    <row r="85" spans="3:9" x14ac:dyDescent="0.25">
      <c r="C85" s="84" t="s">
        <v>173</v>
      </c>
      <c r="D85" s="95">
        <f>'Gastos primer año'!C14</f>
        <v>330000</v>
      </c>
      <c r="E85" s="95">
        <f>+D85*1.1</f>
        <v>363000.00000000006</v>
      </c>
      <c r="F85" s="95">
        <f>+E85*1.1</f>
        <v>399300.00000000012</v>
      </c>
      <c r="G85" s="95">
        <f>+F85*1.1</f>
        <v>439230.00000000017</v>
      </c>
      <c r="H85" s="85">
        <f>+G85*1.1</f>
        <v>483153.00000000023</v>
      </c>
    </row>
    <row r="86" spans="3:9" x14ac:dyDescent="0.25">
      <c r="C86" s="84" t="s">
        <v>175</v>
      </c>
      <c r="D86" s="95">
        <f>'Gastos primer año'!Q16</f>
        <v>10800000</v>
      </c>
      <c r="E86" s="95">
        <f>+D86*1.1</f>
        <v>11880000.000000002</v>
      </c>
      <c r="F86" s="95">
        <f>+E86*1.1</f>
        <v>13068000.000000004</v>
      </c>
      <c r="G86" s="95">
        <f>(F86*2)*1.1</f>
        <v>28749600.000000011</v>
      </c>
      <c r="H86" s="85">
        <f>(G86*2)*1.1</f>
        <v>63249120.00000003</v>
      </c>
    </row>
    <row r="87" spans="3:9" x14ac:dyDescent="0.25">
      <c r="C87" s="84" t="s">
        <v>174</v>
      </c>
      <c r="D87" s="95">
        <f>'Gastos primer año'!Q15</f>
        <v>15093530</v>
      </c>
      <c r="E87" s="95">
        <f>'Pres. Ingresos, costos y gastos'!D55*1.1</f>
        <v>19923459.600000001</v>
      </c>
      <c r="F87" s="95">
        <f>E87*1.1</f>
        <v>21915805.560000002</v>
      </c>
      <c r="G87" s="95">
        <f>(F87*2)*1.1</f>
        <v>48214772.232000008</v>
      </c>
      <c r="H87" s="85">
        <f>(G87*2)*1.1</f>
        <v>106072498.91040003</v>
      </c>
    </row>
    <row r="88" spans="3:9" x14ac:dyDescent="0.25">
      <c r="C88" s="127"/>
      <c r="D88" s="95"/>
      <c r="E88" s="95"/>
      <c r="F88" s="95"/>
      <c r="G88" s="95"/>
      <c r="H88" s="85"/>
    </row>
    <row r="89" spans="3:9" ht="16.5" thickBot="1" x14ac:dyDescent="0.3">
      <c r="C89" s="126" t="s">
        <v>35</v>
      </c>
      <c r="D89" s="112">
        <f>SUM(D85:D88)</f>
        <v>26223530</v>
      </c>
      <c r="E89" s="112">
        <f>SUM(E85:E88)</f>
        <v>32166459.600000001</v>
      </c>
      <c r="F89" s="112">
        <f>SUM(F85:F88)</f>
        <v>35383105.560000002</v>
      </c>
      <c r="G89" s="112">
        <f>SUM(G85:G88)</f>
        <v>77403602.232000023</v>
      </c>
      <c r="H89" s="129">
        <f>SUM(H85:H88)</f>
        <v>169804771.91040006</v>
      </c>
    </row>
    <row r="90" spans="3:9" x14ac:dyDescent="0.25">
      <c r="C90" s="95"/>
      <c r="D90" s="95"/>
      <c r="E90" s="95"/>
      <c r="F90" s="95"/>
      <c r="G90" s="95"/>
      <c r="H90" s="95"/>
    </row>
  </sheetData>
  <mergeCells count="7">
    <mergeCell ref="C81:H81"/>
    <mergeCell ref="C51:H51"/>
    <mergeCell ref="B2:F2"/>
    <mergeCell ref="B3:F3"/>
    <mergeCell ref="C29:H29"/>
    <mergeCell ref="C60:H60"/>
    <mergeCell ref="C71:H71"/>
  </mergeCells>
  <phoneticPr fontId="0" type="noConversion"/>
  <pageMargins left="0.75" right="0.75" top="1" bottom="1" header="0" footer="0"/>
  <pageSetup orientation="portrait" horizontalDpi="360" verticalDpi="36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4"/>
  <sheetViews>
    <sheetView zoomScale="120" workbookViewId="0">
      <selection activeCell="C15" sqref="C15"/>
    </sheetView>
  </sheetViews>
  <sheetFormatPr baseColWidth="10" defaultRowHeight="12.75" x14ac:dyDescent="0.2"/>
  <cols>
    <col min="1" max="1" width="11.42578125" style="56"/>
    <col min="2" max="2" width="16.5703125" style="57" customWidth="1"/>
    <col min="3" max="3" width="14.5703125" style="57" customWidth="1"/>
    <col min="4" max="4" width="13.42578125" style="57" customWidth="1"/>
    <col min="5" max="5" width="14.42578125" style="57" customWidth="1"/>
    <col min="6" max="6" width="15.28515625" style="57" customWidth="1"/>
    <col min="7" max="22" width="11.42578125" style="57"/>
    <col min="23" max="16384" width="11.42578125" style="56"/>
  </cols>
  <sheetData>
    <row r="2" spans="1:8" ht="13.5" thickBot="1" x14ac:dyDescent="0.25"/>
    <row r="3" spans="1:8" x14ac:dyDescent="0.2">
      <c r="A3" s="264" t="s">
        <v>36</v>
      </c>
      <c r="B3" s="265"/>
      <c r="C3" s="265"/>
      <c r="D3" s="265"/>
      <c r="E3" s="265"/>
      <c r="F3" s="265"/>
      <c r="G3" s="266"/>
    </row>
    <row r="4" spans="1:8" ht="13.5" thickBot="1" x14ac:dyDescent="0.25">
      <c r="A4" s="58"/>
      <c r="B4" s="59"/>
      <c r="C4" s="59"/>
      <c r="D4" s="59"/>
      <c r="E4" s="59"/>
      <c r="F4" s="59"/>
      <c r="G4" s="60"/>
    </row>
    <row r="5" spans="1:8" x14ac:dyDescent="0.2">
      <c r="A5" s="61"/>
      <c r="B5" s="62" t="s">
        <v>37</v>
      </c>
      <c r="C5" s="263" t="s">
        <v>38</v>
      </c>
      <c r="D5" s="263"/>
      <c r="E5" s="263"/>
      <c r="F5" s="263"/>
      <c r="G5" s="63"/>
    </row>
    <row r="6" spans="1:8" x14ac:dyDescent="0.2">
      <c r="A6" s="61"/>
      <c r="B6" s="62"/>
      <c r="C6" s="62" t="s">
        <v>40</v>
      </c>
      <c r="D6" s="62" t="s">
        <v>39</v>
      </c>
      <c r="E6" s="62" t="s">
        <v>42</v>
      </c>
      <c r="F6" s="62" t="s">
        <v>33</v>
      </c>
      <c r="G6" s="63"/>
    </row>
    <row r="7" spans="1:8" x14ac:dyDescent="0.2">
      <c r="A7" s="61"/>
      <c r="B7" s="62"/>
      <c r="C7" s="62" t="s">
        <v>41</v>
      </c>
      <c r="D7" s="62" t="s">
        <v>207</v>
      </c>
      <c r="E7" s="62" t="s">
        <v>43</v>
      </c>
      <c r="F7" s="62"/>
      <c r="G7" s="63"/>
    </row>
    <row r="8" spans="1:8" x14ac:dyDescent="0.2">
      <c r="A8" s="61"/>
      <c r="B8" s="64"/>
      <c r="C8" s="64"/>
      <c r="D8" s="64"/>
      <c r="E8" s="64"/>
      <c r="F8" s="64"/>
      <c r="G8" s="63"/>
    </row>
    <row r="9" spans="1:8" x14ac:dyDescent="0.2">
      <c r="A9" s="61"/>
      <c r="B9" s="62" t="s">
        <v>180</v>
      </c>
      <c r="C9" s="339"/>
      <c r="D9" s="339"/>
      <c r="E9" s="339"/>
      <c r="F9" s="339">
        <v>11000000</v>
      </c>
      <c r="G9" s="63"/>
    </row>
    <row r="10" spans="1:8" x14ac:dyDescent="0.2">
      <c r="A10" s="61"/>
      <c r="B10" s="62"/>
      <c r="C10" s="339"/>
      <c r="D10" s="339"/>
      <c r="E10" s="339"/>
      <c r="F10" s="339"/>
      <c r="G10" s="63"/>
    </row>
    <row r="11" spans="1:8" x14ac:dyDescent="0.2">
      <c r="A11" s="61"/>
      <c r="B11" s="62" t="s">
        <v>178</v>
      </c>
      <c r="C11" s="339"/>
      <c r="D11" s="339"/>
      <c r="E11" s="339"/>
      <c r="F11" s="339">
        <v>90000000</v>
      </c>
      <c r="G11" s="63"/>
    </row>
    <row r="12" spans="1:8" x14ac:dyDescent="0.2">
      <c r="A12" s="61"/>
      <c r="B12" s="62"/>
      <c r="C12" s="339"/>
      <c r="D12" s="339"/>
      <c r="E12" s="339"/>
      <c r="F12" s="339"/>
      <c r="G12" s="63"/>
    </row>
    <row r="13" spans="1:8" x14ac:dyDescent="0.2">
      <c r="A13" s="61"/>
      <c r="B13" s="62" t="s">
        <v>179</v>
      </c>
      <c r="C13" s="340"/>
      <c r="D13" s="340"/>
      <c r="E13" s="340"/>
      <c r="F13" s="340">
        <v>10000000</v>
      </c>
      <c r="G13" s="63"/>
    </row>
    <row r="14" spans="1:8" x14ac:dyDescent="0.2">
      <c r="A14" s="61"/>
      <c r="B14" s="62"/>
      <c r="C14" s="339"/>
      <c r="D14" s="339"/>
      <c r="E14" s="339"/>
      <c r="F14" s="339"/>
      <c r="G14" s="63"/>
    </row>
    <row r="15" spans="1:8" ht="13.5" thickBot="1" x14ac:dyDescent="0.25">
      <c r="A15" s="58"/>
      <c r="B15" s="65" t="s">
        <v>31</v>
      </c>
      <c r="C15" s="341">
        <v>30000000</v>
      </c>
      <c r="D15" s="341">
        <v>15000000</v>
      </c>
      <c r="E15" s="341">
        <f>F15-D15-C15</f>
        <v>66000000</v>
      </c>
      <c r="F15" s="341">
        <f>SUM(F9:F14)</f>
        <v>111000000</v>
      </c>
      <c r="G15" s="60"/>
      <c r="H15" s="339">
        <f>F15-C15</f>
        <v>81000000</v>
      </c>
    </row>
    <row r="16" spans="1:8" x14ac:dyDescent="0.2">
      <c r="C16" s="143">
        <f>C15/$F$15</f>
        <v>0.27027027027027029</v>
      </c>
      <c r="D16" s="143">
        <f>D15/$F$15</f>
        <v>0.13513513513513514</v>
      </c>
      <c r="E16" s="143">
        <f>E15/$F$15</f>
        <v>0.59459459459459463</v>
      </c>
    </row>
    <row r="17" spans="1:7" ht="13.5" thickBot="1" x14ac:dyDescent="0.25"/>
    <row r="18" spans="1:7" x14ac:dyDescent="0.2">
      <c r="A18" s="66"/>
      <c r="B18" s="67" t="s">
        <v>206</v>
      </c>
      <c r="C18" s="68"/>
      <c r="D18" s="68"/>
      <c r="E18" s="68"/>
      <c r="F18" s="68"/>
      <c r="G18" s="69"/>
    </row>
    <row r="19" spans="1:7" ht="13.5" thickBot="1" x14ac:dyDescent="0.25">
      <c r="A19" s="58"/>
      <c r="B19" s="65"/>
      <c r="C19" s="59"/>
      <c r="D19" s="59"/>
      <c r="E19" s="59"/>
      <c r="F19" s="59"/>
      <c r="G19" s="60"/>
    </row>
    <row r="20" spans="1:7" x14ac:dyDescent="0.2">
      <c r="A20" s="61"/>
      <c r="B20" s="62" t="s">
        <v>44</v>
      </c>
      <c r="C20" s="64"/>
      <c r="D20" s="64"/>
      <c r="E20" s="64"/>
      <c r="F20" s="64"/>
      <c r="G20" s="63"/>
    </row>
    <row r="21" spans="1:7" x14ac:dyDescent="0.2">
      <c r="A21" s="61" t="s">
        <v>25</v>
      </c>
      <c r="B21" s="62" t="s">
        <v>45</v>
      </c>
      <c r="C21" s="62">
        <f>C15</f>
        <v>30000000</v>
      </c>
      <c r="D21" s="62"/>
      <c r="E21" s="62"/>
      <c r="F21" s="62"/>
      <c r="G21" s="63"/>
    </row>
    <row r="22" spans="1:7" x14ac:dyDescent="0.2">
      <c r="A22" s="61"/>
      <c r="B22" s="62" t="s">
        <v>49</v>
      </c>
      <c r="C22" s="62">
        <v>3</v>
      </c>
      <c r="D22" s="62"/>
      <c r="E22" s="62"/>
      <c r="F22" s="62"/>
      <c r="G22" s="63"/>
    </row>
    <row r="23" spans="1:7" x14ac:dyDescent="0.2">
      <c r="A23" s="61"/>
      <c r="B23" s="62" t="s">
        <v>46</v>
      </c>
      <c r="C23" s="62">
        <v>1</v>
      </c>
      <c r="D23" s="62" t="s">
        <v>81</v>
      </c>
      <c r="E23" s="62"/>
      <c r="F23" s="62"/>
      <c r="G23" s="63"/>
    </row>
    <row r="24" spans="1:7" x14ac:dyDescent="0.2">
      <c r="A24" s="61"/>
      <c r="B24" s="62" t="s">
        <v>47</v>
      </c>
      <c r="C24" s="70">
        <v>0.13139999999999999</v>
      </c>
      <c r="D24" s="62" t="s">
        <v>284</v>
      </c>
      <c r="E24" s="62"/>
      <c r="F24" s="314" t="s">
        <v>283</v>
      </c>
      <c r="G24" s="63"/>
    </row>
    <row r="25" spans="1:7" ht="13.5" thickBot="1" x14ac:dyDescent="0.25">
      <c r="A25" s="58"/>
      <c r="B25" s="65" t="s">
        <v>48</v>
      </c>
      <c r="C25" s="65" t="s">
        <v>50</v>
      </c>
      <c r="D25" s="65"/>
      <c r="E25" s="65"/>
      <c r="F25" s="65"/>
      <c r="G25" s="60"/>
    </row>
    <row r="26" spans="1:7" x14ac:dyDescent="0.2">
      <c r="A26" s="71"/>
      <c r="B26" s="72"/>
      <c r="C26" s="72"/>
      <c r="D26" s="72"/>
      <c r="E26" s="72"/>
      <c r="F26" s="72"/>
      <c r="G26" s="73"/>
    </row>
    <row r="27" spans="1:7" x14ac:dyDescent="0.2">
      <c r="A27" s="76" t="s">
        <v>81</v>
      </c>
      <c r="B27" s="77" t="s">
        <v>195</v>
      </c>
      <c r="C27" s="77" t="s">
        <v>48</v>
      </c>
      <c r="D27" s="77" t="s">
        <v>51</v>
      </c>
      <c r="E27" s="77" t="s">
        <v>52</v>
      </c>
      <c r="F27" s="77" t="s">
        <v>53</v>
      </c>
      <c r="G27" s="63"/>
    </row>
    <row r="28" spans="1:7" x14ac:dyDescent="0.2">
      <c r="A28" s="267">
        <v>1</v>
      </c>
      <c r="B28" s="78">
        <v>1</v>
      </c>
      <c r="C28" s="79"/>
      <c r="D28" s="79">
        <f>F28*$C$24</f>
        <v>3941999.9999999995</v>
      </c>
      <c r="E28" s="79"/>
      <c r="F28" s="79">
        <f>C21</f>
        <v>30000000</v>
      </c>
      <c r="G28" s="109"/>
    </row>
    <row r="29" spans="1:7" x14ac:dyDescent="0.2">
      <c r="A29" s="267"/>
      <c r="B29" s="78">
        <v>2</v>
      </c>
      <c r="C29" s="79"/>
      <c r="D29" s="79">
        <f>F28*$C$24</f>
        <v>3941999.9999999995</v>
      </c>
      <c r="E29" s="79"/>
      <c r="F29" s="79">
        <f>+C21</f>
        <v>30000000</v>
      </c>
      <c r="G29" s="109"/>
    </row>
    <row r="30" spans="1:7" x14ac:dyDescent="0.2">
      <c r="A30" s="267">
        <v>2</v>
      </c>
      <c r="B30" s="78">
        <v>3</v>
      </c>
      <c r="C30" s="79">
        <f>E30-D30</f>
        <v>6173179.1743772868</v>
      </c>
      <c r="D30" s="79">
        <f>F29*$C$24</f>
        <v>3941999.9999999995</v>
      </c>
      <c r="E30" s="79">
        <f>PMT($C$24,4,-$C$21)</f>
        <v>10115179.174377287</v>
      </c>
      <c r="F30" s="79">
        <f>+F29-C30</f>
        <v>23826820.825622715</v>
      </c>
      <c r="G30" s="109"/>
    </row>
    <row r="31" spans="1:7" x14ac:dyDescent="0.2">
      <c r="A31" s="267"/>
      <c r="B31" s="78">
        <v>4</v>
      </c>
      <c r="C31" s="79">
        <f>E31-D31</f>
        <v>6984334.9178904621</v>
      </c>
      <c r="D31" s="79">
        <f>F30*$C$24</f>
        <v>3130844.2564868247</v>
      </c>
      <c r="E31" s="79">
        <f>PMT($C$24,4,-$C$21)</f>
        <v>10115179.174377287</v>
      </c>
      <c r="F31" s="79">
        <f>+F30-C31</f>
        <v>16842485.907732252</v>
      </c>
      <c r="G31" s="109"/>
    </row>
    <row r="32" spans="1:7" x14ac:dyDescent="0.2">
      <c r="A32" s="267">
        <v>3</v>
      </c>
      <c r="B32" s="78">
        <v>5</v>
      </c>
      <c r="C32" s="79">
        <f>E32-D32</f>
        <v>7902076.5261012688</v>
      </c>
      <c r="D32" s="79">
        <f>F31*$C$24</f>
        <v>2213102.6482760175</v>
      </c>
      <c r="E32" s="79">
        <f>PMT($C$24,4,-$C$21)</f>
        <v>10115179.174377287</v>
      </c>
      <c r="F32" s="79">
        <f>+F31-C32</f>
        <v>8940409.3816309832</v>
      </c>
      <c r="G32" s="109"/>
    </row>
    <row r="33" spans="1:7" x14ac:dyDescent="0.2">
      <c r="A33" s="268"/>
      <c r="B33" s="78">
        <v>6</v>
      </c>
      <c r="C33" s="79">
        <f>E33-D33</f>
        <v>8940409.3816309758</v>
      </c>
      <c r="D33" s="79">
        <f>F32*$C$24</f>
        <v>1174769.7927463111</v>
      </c>
      <c r="E33" s="79">
        <f>PMT($C$24,4,-$C$21)</f>
        <v>10115179.174377287</v>
      </c>
      <c r="F33" s="79">
        <f>+F32-C33</f>
        <v>0</v>
      </c>
      <c r="G33" s="109"/>
    </row>
    <row r="34" spans="1:7" ht="13.5" thickBot="1" x14ac:dyDescent="0.25">
      <c r="A34" s="74"/>
      <c r="B34" s="75"/>
      <c r="C34" s="59"/>
      <c r="D34" s="59"/>
      <c r="E34" s="59"/>
      <c r="F34" s="59"/>
      <c r="G34" s="60"/>
    </row>
  </sheetData>
  <mergeCells count="5">
    <mergeCell ref="C5:F5"/>
    <mergeCell ref="A3:G3"/>
    <mergeCell ref="A28:A29"/>
    <mergeCell ref="A30:A31"/>
    <mergeCell ref="A32:A33"/>
  </mergeCells>
  <phoneticPr fontId="0" type="noConversion"/>
  <hyperlinks>
    <hyperlink ref="F24" r:id="rId1"/>
  </hyperlinks>
  <pageMargins left="0.75" right="0.75" top="1" bottom="1" header="0" footer="0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9"/>
  <sheetViews>
    <sheetView showGridLines="0" tabSelected="1" topLeftCell="A7" workbookViewId="0">
      <selection activeCell="H22" sqref="H22"/>
    </sheetView>
  </sheetViews>
  <sheetFormatPr baseColWidth="10" defaultRowHeight="15" customHeight="1" x14ac:dyDescent="0.25"/>
  <cols>
    <col min="1" max="1" width="9.28515625" style="122" bestFit="1" customWidth="1"/>
    <col min="2" max="2" width="43.7109375" style="122" bestFit="1" customWidth="1"/>
    <col min="3" max="4" width="13" style="95" customWidth="1"/>
    <col min="5" max="5" width="17.140625" style="95" bestFit="1" customWidth="1"/>
    <col min="6" max="8" width="18.28515625" style="96" bestFit="1" customWidth="1"/>
    <col min="9" max="9" width="13" style="122" bestFit="1" customWidth="1"/>
    <col min="10" max="16384" width="11.42578125" style="122"/>
  </cols>
  <sheetData>
    <row r="1" spans="1:8" s="122" customFormat="1" ht="15" customHeight="1" x14ac:dyDescent="0.25">
      <c r="C1" s="270" t="s">
        <v>200</v>
      </c>
      <c r="D1" s="270"/>
      <c r="E1" s="270"/>
      <c r="F1" s="270"/>
      <c r="G1" s="270"/>
      <c r="H1" s="270"/>
    </row>
    <row r="2" spans="1:8" s="97" customFormat="1" ht="15" customHeight="1" x14ac:dyDescent="0.25">
      <c r="C2" s="271" t="s">
        <v>201</v>
      </c>
      <c r="D2" s="271"/>
      <c r="E2" s="271"/>
      <c r="F2" s="271"/>
      <c r="G2" s="271"/>
      <c r="H2" s="271"/>
    </row>
    <row r="3" spans="1:8" s="97" customFormat="1" ht="15" customHeight="1" x14ac:dyDescent="0.25">
      <c r="C3" s="271" t="s">
        <v>208</v>
      </c>
      <c r="D3" s="271"/>
      <c r="E3" s="271"/>
      <c r="F3" s="271"/>
      <c r="G3" s="271"/>
      <c r="H3" s="271"/>
    </row>
    <row r="4" spans="1:8" s="97" customFormat="1" ht="15" customHeight="1" x14ac:dyDescent="0.25">
      <c r="C4" s="181"/>
      <c r="D4" s="181"/>
      <c r="E4" s="181"/>
      <c r="F4" s="181"/>
      <c r="G4" s="181"/>
      <c r="H4" s="181"/>
    </row>
    <row r="5" spans="1:8" s="97" customFormat="1" ht="15" customHeight="1" x14ac:dyDescent="0.25">
      <c r="C5" s="269" t="s">
        <v>54</v>
      </c>
      <c r="D5" s="269"/>
      <c r="E5" s="180" t="s">
        <v>55</v>
      </c>
      <c r="F5" s="180" t="s">
        <v>56</v>
      </c>
      <c r="G5" s="180" t="s">
        <v>198</v>
      </c>
      <c r="H5" s="180" t="s">
        <v>199</v>
      </c>
    </row>
    <row r="6" spans="1:8" s="97" customFormat="1" ht="15" customHeight="1" x14ac:dyDescent="0.25">
      <c r="A6" s="103"/>
      <c r="B6" s="98" t="s">
        <v>57</v>
      </c>
      <c r="C6" s="92"/>
      <c r="D6" s="91">
        <f>'Pres. Ingresos, costos y gastos'!D68</f>
        <v>1735986</v>
      </c>
      <c r="E6" s="91">
        <f>'Pres. Ingresos, costos y gastos'!E68</f>
        <v>1909584.6000000003</v>
      </c>
      <c r="F6" s="91">
        <f>'Pres. Ingresos, costos y gastos'!F68</f>
        <v>6175636.7200000025</v>
      </c>
      <c r="G6" s="91">
        <f>'Pres. Ingresos, costos y gastos'!G68</f>
        <v>6793200.3920000028</v>
      </c>
      <c r="H6" s="91">
        <f>'Pres. Ingresos, costos y gastos'!H68</f>
        <v>14868815.424100008</v>
      </c>
    </row>
    <row r="7" spans="1:8" s="97" customFormat="1" ht="15" customHeight="1" x14ac:dyDescent="0.25">
      <c r="A7" s="103" t="s">
        <v>82</v>
      </c>
      <c r="B7" s="98" t="s">
        <v>84</v>
      </c>
      <c r="C7" s="92"/>
      <c r="D7" s="91">
        <f>'Pres. Ingresos, costos y gastos'!D55</f>
        <v>18112236</v>
      </c>
      <c r="E7" s="91">
        <f>'Pres. Ingresos, costos y gastos'!E55</f>
        <v>19923459.600000001</v>
      </c>
      <c r="F7" s="91">
        <f>'Pres. Ingresos, costos y gastos'!F55</f>
        <v>21915805.560000002</v>
      </c>
      <c r="G7" s="91">
        <f>'Pres. Ingresos, costos y gastos'!G55</f>
        <v>24107386.116000004</v>
      </c>
      <c r="H7" s="91">
        <f>'Pres. Ingresos, costos y gastos'!H55</f>
        <v>26518124.727600008</v>
      </c>
    </row>
    <row r="8" spans="1:8" s="97" customFormat="1" ht="15" customHeight="1" x14ac:dyDescent="0.25">
      <c r="A8" s="103"/>
      <c r="B8" s="100" t="s">
        <v>177</v>
      </c>
      <c r="C8" s="92">
        <f>'Pres. Ingresos, costos y gastos'!D75</f>
        <v>3600000</v>
      </c>
      <c r="D8" s="92"/>
      <c r="E8" s="92">
        <f>'Pres. Ingresos, costos y gastos'!E75</f>
        <v>1980000.0000000002</v>
      </c>
      <c r="F8" s="92">
        <f>'Pres. Ingresos, costos y gastos'!F75</f>
        <v>2178000.0000000005</v>
      </c>
      <c r="G8" s="92">
        <f>'Pres. Ingresos, costos y gastos'!H75</f>
        <v>2635380.0000000014</v>
      </c>
      <c r="H8" s="92">
        <f>'Pres. Ingresos, costos y gastos'!H75</f>
        <v>2635380.0000000014</v>
      </c>
    </row>
    <row r="9" spans="1:8" s="97" customFormat="1" ht="15" customHeight="1" x14ac:dyDescent="0.25">
      <c r="A9" s="103"/>
      <c r="B9" s="100" t="s">
        <v>34</v>
      </c>
      <c r="C9" s="92">
        <f>'Pres. Ingresos, costos y gastos'!D76</f>
        <v>1193541.4285714286</v>
      </c>
      <c r="D9" s="92"/>
      <c r="E9" s="92">
        <f>'Pres. Ingresos, costos y gastos'!E76</f>
        <v>1193541.4285714286</v>
      </c>
      <c r="F9" s="92">
        <f>'Pres. Ingresos, costos y gastos'!F76</f>
        <v>1193541.4285714286</v>
      </c>
      <c r="G9" s="92">
        <f>'Pres. Ingresos, costos y gastos'!H76</f>
        <v>1193541.4285714286</v>
      </c>
      <c r="H9" s="92">
        <f>'Pres. Ingresos, costos y gastos'!H76</f>
        <v>1193541.4285714286</v>
      </c>
    </row>
    <row r="10" spans="1:8" s="97" customFormat="1" ht="15" customHeight="1" x14ac:dyDescent="0.25">
      <c r="A10" s="103" t="s">
        <v>82</v>
      </c>
      <c r="B10" s="104" t="s">
        <v>85</v>
      </c>
      <c r="C10" s="92"/>
      <c r="D10" s="91">
        <f>SUM(C8:C9)</f>
        <v>4793541.4285714291</v>
      </c>
      <c r="E10" s="91">
        <f>SUM(E8:E9)</f>
        <v>3173541.4285714291</v>
      </c>
      <c r="F10" s="91">
        <f>SUM(F8:F9)</f>
        <v>3371541.4285714291</v>
      </c>
      <c r="G10" s="91">
        <f>SUM(G8:G9)</f>
        <v>3828921.42857143</v>
      </c>
      <c r="H10" s="91">
        <f>SUM(H8:H9)</f>
        <v>3828921.42857143</v>
      </c>
    </row>
    <row r="11" spans="1:8" s="97" customFormat="1" ht="15" customHeight="1" x14ac:dyDescent="0.25">
      <c r="A11" s="103" t="s">
        <v>83</v>
      </c>
      <c r="B11" s="98" t="s">
        <v>60</v>
      </c>
      <c r="C11" s="105"/>
      <c r="D11" s="102">
        <f>D6+D7+D10</f>
        <v>24641763.428571429</v>
      </c>
      <c r="E11" s="102">
        <f>E6+E7+E10</f>
        <v>25006585.628571432</v>
      </c>
      <c r="F11" s="102">
        <f>F6+F7+F10</f>
        <v>31462983.708571434</v>
      </c>
      <c r="G11" s="102">
        <f>G6+G7+G10</f>
        <v>34729507.936571442</v>
      </c>
      <c r="H11" s="102">
        <f>H6+H7+H10</f>
        <v>45215861.580271453</v>
      </c>
    </row>
    <row r="12" spans="1:8" s="97" customFormat="1" ht="15" customHeight="1" x14ac:dyDescent="0.25">
      <c r="C12" s="92"/>
      <c r="D12" s="92"/>
      <c r="E12" s="92"/>
      <c r="F12" s="101"/>
      <c r="G12" s="101"/>
      <c r="H12" s="101"/>
    </row>
    <row r="14" spans="1:8" s="93" customFormat="1" ht="3" customHeight="1" x14ac:dyDescent="0.25">
      <c r="C14" s="94"/>
      <c r="D14" s="94"/>
      <c r="E14" s="94"/>
      <c r="F14" s="94"/>
      <c r="G14" s="94"/>
      <c r="H14" s="94"/>
    </row>
    <row r="15" spans="1:8" s="122" customFormat="1" ht="15" customHeight="1" x14ac:dyDescent="0.25">
      <c r="B15" s="122" t="s">
        <v>290</v>
      </c>
      <c r="C15" s="320">
        <v>0.33</v>
      </c>
      <c r="D15" s="95"/>
      <c r="E15" s="95"/>
      <c r="F15" s="96"/>
      <c r="G15" s="96"/>
      <c r="H15" s="96"/>
    </row>
    <row r="16" spans="1:8" s="122" customFormat="1" ht="15" customHeight="1" x14ac:dyDescent="0.25">
      <c r="C16" s="270" t="s">
        <v>200</v>
      </c>
      <c r="D16" s="270"/>
      <c r="E16" s="270"/>
      <c r="F16" s="270"/>
      <c r="G16" s="270"/>
      <c r="H16" s="270"/>
    </row>
    <row r="17" spans="1:8" s="122" customFormat="1" ht="15" customHeight="1" x14ac:dyDescent="0.25">
      <c r="C17" s="271" t="s">
        <v>201</v>
      </c>
      <c r="D17" s="271"/>
      <c r="E17" s="271"/>
      <c r="F17" s="271"/>
      <c r="G17" s="271"/>
      <c r="H17" s="271"/>
    </row>
    <row r="18" spans="1:8" s="122" customFormat="1" ht="15" customHeight="1" x14ac:dyDescent="0.25">
      <c r="C18" s="271" t="s">
        <v>208</v>
      </c>
      <c r="D18" s="271"/>
      <c r="E18" s="271"/>
      <c r="F18" s="271"/>
      <c r="G18" s="271"/>
      <c r="H18" s="271"/>
    </row>
    <row r="19" spans="1:8" s="122" customFormat="1" ht="15" customHeight="1" x14ac:dyDescent="0.25">
      <c r="C19" s="181"/>
      <c r="D19" s="181"/>
      <c r="E19" s="181"/>
      <c r="F19" s="181"/>
      <c r="G19" s="181"/>
      <c r="H19" s="181"/>
    </row>
    <row r="20" spans="1:8" s="97" customFormat="1" ht="15" customHeight="1" x14ac:dyDescent="0.25">
      <c r="C20" s="269" t="s">
        <v>54</v>
      </c>
      <c r="D20" s="269"/>
      <c r="E20" s="180" t="s">
        <v>55</v>
      </c>
      <c r="F20" s="180" t="s">
        <v>56</v>
      </c>
      <c r="G20" s="180" t="s">
        <v>198</v>
      </c>
      <c r="H20" s="180" t="s">
        <v>199</v>
      </c>
    </row>
    <row r="21" spans="1:8" s="97" customFormat="1" ht="15" customHeight="1" x14ac:dyDescent="0.25">
      <c r="B21" s="98" t="s">
        <v>58</v>
      </c>
      <c r="C21" s="333">
        <f>'Pres. Ingresos, costos y gastos'!F9</f>
        <v>2465684.16</v>
      </c>
      <c r="D21" s="336"/>
      <c r="E21" s="333">
        <f>'Pres. Ingresos, costos y gastos'!F13</f>
        <v>40922458.703999996</v>
      </c>
      <c r="F21" s="333">
        <f>'Pres. Ingresos, costos y gastos'!F17</f>
        <v>120353561.28</v>
      </c>
      <c r="G21" s="333">
        <f>'Pres. Ingresos, costos y gastos'!F21</f>
        <v>356975766.43199998</v>
      </c>
      <c r="H21" s="333">
        <f>'Pres. Ingresos, costos y gastos'!F25</f>
        <v>830220176.73599994</v>
      </c>
    </row>
    <row r="22" spans="1:8" s="97" customFormat="1" ht="15" customHeight="1" x14ac:dyDescent="0.25">
      <c r="A22" s="106" t="s">
        <v>86</v>
      </c>
      <c r="B22" s="100" t="s">
        <v>87</v>
      </c>
      <c r="C22" s="336"/>
      <c r="D22" s="336"/>
      <c r="E22" s="336"/>
      <c r="F22" s="336">
        <f>'Pres. Ingresos, costos y gastos'!F45</f>
        <v>6480000</v>
      </c>
      <c r="G22" s="336">
        <f>'Pres. Ingresos, costos y gastos'!G45</f>
        <v>21600000</v>
      </c>
      <c r="H22" s="336">
        <f>'Pres. Ingresos, costos y gastos'!H45</f>
        <v>69120000</v>
      </c>
    </row>
    <row r="23" spans="1:8" s="97" customFormat="1" ht="15" customHeight="1" x14ac:dyDescent="0.25">
      <c r="A23" s="106" t="s">
        <v>88</v>
      </c>
      <c r="B23" s="98" t="s">
        <v>80</v>
      </c>
      <c r="C23" s="336"/>
      <c r="D23" s="337">
        <f>+C21-C22</f>
        <v>2465684.16</v>
      </c>
      <c r="E23" s="337">
        <f>+E21-E22</f>
        <v>40922458.703999996</v>
      </c>
      <c r="F23" s="337">
        <f>+F21-F22</f>
        <v>113873561.28</v>
      </c>
      <c r="G23" s="337">
        <f>+G21-G22</f>
        <v>335375766.43199998</v>
      </c>
      <c r="H23" s="337">
        <f>+H21-H22</f>
        <v>761100176.73599994</v>
      </c>
    </row>
    <row r="24" spans="1:8" s="97" customFormat="1" ht="15" customHeight="1" x14ac:dyDescent="0.25">
      <c r="A24" s="106" t="s">
        <v>86</v>
      </c>
      <c r="B24" s="97" t="s">
        <v>59</v>
      </c>
      <c r="C24" s="336">
        <f>+D11</f>
        <v>24641763.428571429</v>
      </c>
      <c r="D24" s="336"/>
      <c r="E24" s="336">
        <f>+E11</f>
        <v>25006585.628571432</v>
      </c>
      <c r="F24" s="336">
        <f>+F11</f>
        <v>31462983.708571434</v>
      </c>
      <c r="G24" s="336">
        <f>+G11</f>
        <v>34729507.936571442</v>
      </c>
      <c r="H24" s="336">
        <f>+H11</f>
        <v>45215861.580271453</v>
      </c>
    </row>
    <row r="25" spans="1:8" s="97" customFormat="1" ht="15" customHeight="1" x14ac:dyDescent="0.25">
      <c r="A25" s="106" t="s">
        <v>88</v>
      </c>
      <c r="B25" s="98" t="s">
        <v>12</v>
      </c>
      <c r="C25" s="336"/>
      <c r="D25" s="337">
        <f>+D23-C24</f>
        <v>-22176079.268571429</v>
      </c>
      <c r="E25" s="337">
        <f>+E23-E24</f>
        <v>15915873.075428564</v>
      </c>
      <c r="F25" s="337">
        <f>+F23-F24</f>
        <v>82410577.571428567</v>
      </c>
      <c r="G25" s="337">
        <f>+G23-G24</f>
        <v>300646258.49542856</v>
      </c>
      <c r="H25" s="337">
        <f>+H23-H24</f>
        <v>715884315.15572846</v>
      </c>
    </row>
    <row r="26" spans="1:8" s="97" customFormat="1" ht="15" customHeight="1" x14ac:dyDescent="0.25">
      <c r="C26" s="336"/>
      <c r="D26" s="336"/>
      <c r="E26" s="336"/>
      <c r="F26" s="336"/>
      <c r="G26" s="336"/>
      <c r="H26" s="336"/>
    </row>
    <row r="27" spans="1:8" s="97" customFormat="1" ht="15" customHeight="1" x14ac:dyDescent="0.25">
      <c r="B27" s="100" t="s">
        <v>173</v>
      </c>
      <c r="C27" s="336">
        <f>'Pres. Ingresos, costos y gastos'!D85</f>
        <v>330000</v>
      </c>
      <c r="D27" s="336"/>
      <c r="E27" s="336">
        <f>'Pres. Ingresos, costos y gastos'!E85</f>
        <v>363000.00000000006</v>
      </c>
      <c r="F27" s="336">
        <f>'Pres. Ingresos, costos y gastos'!F85</f>
        <v>399300.00000000012</v>
      </c>
      <c r="G27" s="336">
        <f>'Pres. Ingresos, costos y gastos'!G85</f>
        <v>439230.00000000017</v>
      </c>
      <c r="H27" s="336">
        <f>'Pres. Ingresos, costos y gastos'!H85</f>
        <v>483153.00000000023</v>
      </c>
    </row>
    <row r="28" spans="1:8" s="97" customFormat="1" ht="15" customHeight="1" x14ac:dyDescent="0.25">
      <c r="B28" s="100" t="s">
        <v>174</v>
      </c>
      <c r="C28" s="336">
        <f>'Pres. Ingresos, costos y gastos'!D87</f>
        <v>15093530</v>
      </c>
      <c r="D28" s="336"/>
      <c r="E28" s="336">
        <f>'Pres. Ingresos, costos y gastos'!E87</f>
        <v>19923459.600000001</v>
      </c>
      <c r="F28" s="336">
        <f>'Pres. Ingresos, costos y gastos'!F87</f>
        <v>21915805.560000002</v>
      </c>
      <c r="G28" s="336">
        <f>'Pres. Ingresos, costos y gastos'!G87</f>
        <v>48214772.232000008</v>
      </c>
      <c r="H28" s="336">
        <f>'Pres. Ingresos, costos y gastos'!H87</f>
        <v>106072498.91040003</v>
      </c>
    </row>
    <row r="29" spans="1:8" s="97" customFormat="1" ht="15" customHeight="1" x14ac:dyDescent="0.25">
      <c r="B29" s="100" t="s">
        <v>175</v>
      </c>
      <c r="C29" s="336">
        <f>'Pres. Ingresos, costos y gastos'!D86</f>
        <v>10800000</v>
      </c>
      <c r="D29" s="336"/>
      <c r="E29" s="336">
        <f>'Pres. Ingresos, costos y gastos'!E86</f>
        <v>11880000.000000002</v>
      </c>
      <c r="F29" s="336">
        <f>'Pres. Ingresos, costos y gastos'!F86</f>
        <v>13068000.000000004</v>
      </c>
      <c r="G29" s="336">
        <f>'Pres. Ingresos, costos y gastos'!G86</f>
        <v>28749600.000000011</v>
      </c>
      <c r="H29" s="336">
        <f>'Pres. Ingresos, costos y gastos'!H86</f>
        <v>63249120.00000003</v>
      </c>
    </row>
    <row r="30" spans="1:8" s="97" customFormat="1" ht="15" customHeight="1" x14ac:dyDescent="0.25">
      <c r="A30" s="106" t="s">
        <v>86</v>
      </c>
      <c r="B30" s="97" t="s">
        <v>13</v>
      </c>
      <c r="C30" s="336">
        <f>SUM(C27:C29)</f>
        <v>26223530</v>
      </c>
      <c r="D30" s="336"/>
      <c r="E30" s="336">
        <f>SUM(E27:E29)</f>
        <v>32166459.600000001</v>
      </c>
      <c r="F30" s="336">
        <f>SUM(F27:F29)</f>
        <v>35383105.560000002</v>
      </c>
      <c r="G30" s="336">
        <f>SUM(G27:G29)</f>
        <v>77403602.232000023</v>
      </c>
      <c r="H30" s="336">
        <f>SUM(H27:H29)</f>
        <v>169804771.91040006</v>
      </c>
    </row>
    <row r="31" spans="1:8" s="97" customFormat="1" ht="15" customHeight="1" x14ac:dyDescent="0.25">
      <c r="A31" s="106" t="s">
        <v>88</v>
      </c>
      <c r="B31" s="98" t="s">
        <v>89</v>
      </c>
      <c r="C31" s="336"/>
      <c r="D31" s="337">
        <f>+D25-C30</f>
        <v>-48399609.268571429</v>
      </c>
      <c r="E31" s="337">
        <f>+E25-E30</f>
        <v>-16250586.524571437</v>
      </c>
      <c r="F31" s="337">
        <f>+F25-F30</f>
        <v>47027472.011428565</v>
      </c>
      <c r="G31" s="337">
        <f>+G25-G30</f>
        <v>223242656.26342854</v>
      </c>
      <c r="H31" s="337">
        <f>+H25-H30</f>
        <v>546079543.24532843</v>
      </c>
    </row>
    <row r="32" spans="1:8" s="97" customFormat="1" ht="15" customHeight="1" x14ac:dyDescent="0.25">
      <c r="A32" s="106" t="s">
        <v>86</v>
      </c>
      <c r="B32" s="97" t="s">
        <v>14</v>
      </c>
      <c r="C32" s="336"/>
      <c r="D32" s="336">
        <f>'FC y B'!B19</f>
        <v>7883999.9999999991</v>
      </c>
      <c r="E32" s="336">
        <f>'FC y B'!D19</f>
        <v>7072844.2564868238</v>
      </c>
      <c r="F32" s="336">
        <f>'FC y B'!E19</f>
        <v>3387872.4410223286</v>
      </c>
      <c r="G32" s="336">
        <f>'FC y B'!F19</f>
        <v>0</v>
      </c>
      <c r="H32" s="336">
        <v>0</v>
      </c>
    </row>
    <row r="33" spans="1:8" s="97" customFormat="1" ht="15" customHeight="1" x14ac:dyDescent="0.25">
      <c r="B33" s="98" t="s">
        <v>15</v>
      </c>
      <c r="C33" s="336"/>
      <c r="D33" s="336">
        <f>+D31-D32</f>
        <v>-56283609.268571429</v>
      </c>
      <c r="E33" s="336">
        <f>+E31-E32</f>
        <v>-23323430.781058259</v>
      </c>
      <c r="F33" s="336">
        <f>+F31-F32</f>
        <v>43639599.570406236</v>
      </c>
      <c r="G33" s="336">
        <f>+G31-G32</f>
        <v>223242656.26342854</v>
      </c>
      <c r="H33" s="336">
        <f>+H31-H32</f>
        <v>546079543.24532843</v>
      </c>
    </row>
    <row r="34" spans="1:8" s="97" customFormat="1" ht="15" customHeight="1" x14ac:dyDescent="0.25">
      <c r="A34" s="106" t="s">
        <v>86</v>
      </c>
      <c r="B34" s="97" t="s">
        <v>16</v>
      </c>
      <c r="C34" s="336">
        <v>0</v>
      </c>
      <c r="D34" s="336"/>
      <c r="E34" s="336">
        <f>IF(E33&lt;0,0,E33*$C$15)</f>
        <v>0</v>
      </c>
      <c r="F34" s="336">
        <f t="shared" ref="F34:H34" si="0">IF(F33&lt;0,0,F33*$C$15)</f>
        <v>14401067.858234059</v>
      </c>
      <c r="G34" s="336">
        <f t="shared" si="0"/>
        <v>73670076.566931427</v>
      </c>
      <c r="H34" s="336">
        <f t="shared" si="0"/>
        <v>180206249.27095839</v>
      </c>
    </row>
    <row r="35" spans="1:8" s="97" customFormat="1" ht="15" customHeight="1" x14ac:dyDescent="0.25">
      <c r="A35" s="106" t="s">
        <v>88</v>
      </c>
      <c r="B35" s="98" t="s">
        <v>17</v>
      </c>
      <c r="C35" s="333"/>
      <c r="D35" s="337">
        <f>+D33-C34</f>
        <v>-56283609.268571429</v>
      </c>
      <c r="E35" s="337">
        <f>+E33-E34</f>
        <v>-23323430.781058259</v>
      </c>
      <c r="F35" s="337">
        <f>+F33-F34</f>
        <v>29238531.712172177</v>
      </c>
      <c r="G35" s="337">
        <f>+G33-G34</f>
        <v>149572579.69649711</v>
      </c>
      <c r="H35" s="337">
        <f>+H33-H34</f>
        <v>365873293.97437</v>
      </c>
    </row>
    <row r="36" spans="1:8" s="97" customFormat="1" ht="15" customHeight="1" x14ac:dyDescent="0.25">
      <c r="C36" s="92"/>
      <c r="D36" s="92"/>
      <c r="E36" s="92"/>
      <c r="F36" s="101"/>
      <c r="G36" s="101"/>
      <c r="H36" s="101"/>
    </row>
    <row r="37" spans="1:8" s="122" customFormat="1" ht="15" customHeight="1" x14ac:dyDescent="0.25">
      <c r="C37" s="96"/>
      <c r="D37" s="96"/>
      <c r="E37" s="96"/>
      <c r="F37" s="96"/>
      <c r="G37" s="96"/>
      <c r="H37" s="96"/>
    </row>
    <row r="38" spans="1:8" s="122" customFormat="1" ht="15" customHeight="1" x14ac:dyDescent="0.25">
      <c r="C38" s="96"/>
      <c r="D38" s="96"/>
      <c r="E38" s="96"/>
      <c r="F38" s="96"/>
      <c r="G38" s="96"/>
      <c r="H38" s="96"/>
    </row>
    <row r="39" spans="1:8" s="122" customFormat="1" ht="15" customHeight="1" x14ac:dyDescent="0.25">
      <c r="C39" s="96"/>
      <c r="D39" s="96"/>
      <c r="E39" s="96"/>
      <c r="F39" s="96"/>
      <c r="G39" s="96"/>
      <c r="H39" s="96"/>
    </row>
  </sheetData>
  <mergeCells count="8">
    <mergeCell ref="C20:D20"/>
    <mergeCell ref="C16:H16"/>
    <mergeCell ref="C17:H17"/>
    <mergeCell ref="C18:H18"/>
    <mergeCell ref="C1:H1"/>
    <mergeCell ref="C2:H2"/>
    <mergeCell ref="C3:H3"/>
    <mergeCell ref="C5:D5"/>
  </mergeCells>
  <phoneticPr fontId="0" type="noConversion"/>
  <pageMargins left="0.75" right="0.75" top="1" bottom="1" header="0" footer="0"/>
  <pageSetup paperSize="9" orientation="portrait" verticalDpi="0" r:id="rId1"/>
  <headerFooter alignWithMargins="0"/>
  <ignoredErrors>
    <ignoredError sqref="E34:H3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H60"/>
  <sheetViews>
    <sheetView showGridLines="0" zoomScale="90" zoomScaleNormal="90" workbookViewId="0">
      <selection activeCell="C28" sqref="C28"/>
    </sheetView>
  </sheetViews>
  <sheetFormatPr baseColWidth="10" defaultRowHeight="15.75" x14ac:dyDescent="0.25"/>
  <cols>
    <col min="1" max="1" width="34.5703125" style="80" customWidth="1"/>
    <col min="2" max="2" width="17.140625" style="83" customWidth="1"/>
    <col min="3" max="3" width="16.85546875" style="83" customWidth="1"/>
    <col min="4" max="5" width="17.140625" style="83" bestFit="1" customWidth="1"/>
    <col min="6" max="7" width="18.28515625" style="83" bestFit="1" customWidth="1"/>
    <col min="8" max="8" width="14.140625" style="80" bestFit="1" customWidth="1"/>
    <col min="9" max="16384" width="11.42578125" style="80"/>
  </cols>
  <sheetData>
    <row r="1" spans="1:8" x14ac:dyDescent="0.25">
      <c r="B1" s="270" t="s">
        <v>200</v>
      </c>
      <c r="C1" s="270"/>
      <c r="D1" s="270"/>
      <c r="E1" s="270"/>
      <c r="F1" s="270"/>
      <c r="G1" s="270"/>
    </row>
    <row r="2" spans="1:8" x14ac:dyDescent="0.25">
      <c r="B2" s="272" t="s">
        <v>92</v>
      </c>
      <c r="C2" s="272"/>
      <c r="D2" s="272"/>
      <c r="E2" s="272"/>
      <c r="F2" s="272"/>
      <c r="G2" s="272"/>
      <c r="H2" s="82"/>
    </row>
    <row r="3" spans="1:8" x14ac:dyDescent="0.25">
      <c r="B3" s="271" t="s">
        <v>208</v>
      </c>
      <c r="C3" s="271"/>
      <c r="D3" s="271"/>
      <c r="E3" s="271"/>
      <c r="F3" s="271"/>
      <c r="G3" s="271"/>
      <c r="H3" s="82"/>
    </row>
    <row r="5" spans="1:8" s="122" customFormat="1" x14ac:dyDescent="0.25">
      <c r="A5" s="133" t="s">
        <v>79</v>
      </c>
      <c r="B5" s="273" t="s">
        <v>61</v>
      </c>
      <c r="C5" s="273"/>
      <c r="D5" s="132" t="s">
        <v>28</v>
      </c>
      <c r="E5" s="132" t="s">
        <v>32</v>
      </c>
      <c r="F5" s="132" t="s">
        <v>193</v>
      </c>
      <c r="G5" s="132" t="s">
        <v>193</v>
      </c>
    </row>
    <row r="6" spans="1:8" s="122" customFormat="1" x14ac:dyDescent="0.25">
      <c r="B6" s="147"/>
      <c r="C6" s="147"/>
      <c r="D6" s="147"/>
      <c r="E6" s="147"/>
      <c r="F6" s="147"/>
      <c r="G6" s="147"/>
    </row>
    <row r="7" spans="1:8" s="122" customFormat="1" x14ac:dyDescent="0.25">
      <c r="A7" s="122" t="s">
        <v>62</v>
      </c>
      <c r="B7" s="147">
        <f>+'P y G'!D23</f>
        <v>2465684.16</v>
      </c>
      <c r="C7" s="147"/>
      <c r="D7" s="147">
        <f>+'P y G'!E23</f>
        <v>40922458.703999996</v>
      </c>
      <c r="E7" s="147">
        <f>+'P y G'!F23</f>
        <v>113873561.28</v>
      </c>
      <c r="F7" s="147">
        <f>+'P y G'!G23</f>
        <v>335375766.43199998</v>
      </c>
      <c r="G7" s="147">
        <f>+'P y G'!H23</f>
        <v>761100176.73599994</v>
      </c>
    </row>
    <row r="8" spans="1:8" s="122" customFormat="1" x14ac:dyDescent="0.25">
      <c r="A8" s="122" t="s">
        <v>63</v>
      </c>
      <c r="B8" s="147">
        <f>'Plan de inversión'!C15</f>
        <v>30000000</v>
      </c>
      <c r="C8" s="147"/>
      <c r="D8" s="148">
        <v>0</v>
      </c>
      <c r="E8" s="148">
        <v>0</v>
      </c>
      <c r="F8" s="148">
        <v>0</v>
      </c>
      <c r="G8" s="148">
        <v>0</v>
      </c>
    </row>
    <row r="9" spans="1:8" s="122" customFormat="1" hidden="1" x14ac:dyDescent="0.25">
      <c r="A9" s="122" t="s">
        <v>64</v>
      </c>
      <c r="B9" s="149"/>
      <c r="C9" s="148"/>
      <c r="D9" s="149"/>
      <c r="E9" s="149"/>
      <c r="F9" s="149"/>
      <c r="G9" s="149"/>
    </row>
    <row r="10" spans="1:8" s="122" customFormat="1" x14ac:dyDescent="0.25">
      <c r="A10" s="145" t="s">
        <v>65</v>
      </c>
      <c r="B10" s="148"/>
      <c r="C10" s="150">
        <f>SUM(B7:B9)</f>
        <v>32465684.16</v>
      </c>
      <c r="D10" s="150">
        <f>SUM(D7:D9)</f>
        <v>40922458.703999996</v>
      </c>
      <c r="E10" s="150">
        <f>SUM(E7:E9)</f>
        <v>113873561.28</v>
      </c>
      <c r="F10" s="150">
        <f>SUM(F7:F9)</f>
        <v>335375766.43199998</v>
      </c>
      <c r="G10" s="150">
        <f>SUM(G7:G9)</f>
        <v>761100176.73599994</v>
      </c>
    </row>
    <row r="11" spans="1:8" s="122" customFormat="1" x14ac:dyDescent="0.25">
      <c r="B11" s="147"/>
      <c r="C11" s="147"/>
      <c r="D11" s="147"/>
      <c r="E11" s="147"/>
      <c r="F11" s="147"/>
      <c r="G11" s="147"/>
    </row>
    <row r="12" spans="1:8" s="122" customFormat="1" x14ac:dyDescent="0.25">
      <c r="A12" s="133" t="s">
        <v>66</v>
      </c>
      <c r="B12" s="147"/>
      <c r="C12" s="147"/>
      <c r="D12" s="147"/>
      <c r="E12" s="147"/>
      <c r="F12" s="147"/>
      <c r="G12" s="147"/>
    </row>
    <row r="13" spans="1:8" s="122" customFormat="1" x14ac:dyDescent="0.25">
      <c r="A13" s="122" t="s">
        <v>194</v>
      </c>
      <c r="B13" s="147">
        <f>'P y G'!D6</f>
        <v>1735986</v>
      </c>
      <c r="C13" s="147"/>
      <c r="D13" s="99">
        <f>'P y G'!E6</f>
        <v>1909584.6000000003</v>
      </c>
      <c r="E13" s="99">
        <f>'P y G'!F6</f>
        <v>6175636.7200000025</v>
      </c>
      <c r="F13" s="99">
        <f>'P y G'!G6</f>
        <v>6793200.3920000028</v>
      </c>
      <c r="G13" s="99">
        <f>'P y G'!H6</f>
        <v>14868815.424100008</v>
      </c>
    </row>
    <row r="14" spans="1:8" s="122" customFormat="1" x14ac:dyDescent="0.25">
      <c r="A14" s="122" t="s">
        <v>171</v>
      </c>
      <c r="B14" s="147">
        <f>'P y G'!C8</f>
        <v>3600000</v>
      </c>
      <c r="C14" s="147"/>
      <c r="D14" s="147">
        <f>'P y G'!E8</f>
        <v>1980000.0000000002</v>
      </c>
      <c r="E14" s="147">
        <f>'P y G'!F8</f>
        <v>2178000.0000000005</v>
      </c>
      <c r="F14" s="147">
        <f>'P y G'!G8</f>
        <v>2635380.0000000014</v>
      </c>
      <c r="G14" s="147">
        <f>'P y G'!H8</f>
        <v>2635380.0000000014</v>
      </c>
    </row>
    <row r="15" spans="1:8" s="122" customFormat="1" x14ac:dyDescent="0.25">
      <c r="A15" s="122" t="s">
        <v>172</v>
      </c>
      <c r="B15" s="147">
        <f>'P y G'!D7</f>
        <v>18112236</v>
      </c>
      <c r="C15" s="147"/>
      <c r="D15" s="147">
        <f>'P y G'!E7</f>
        <v>19923459.600000001</v>
      </c>
      <c r="E15" s="147">
        <f>'P y G'!F7</f>
        <v>21915805.560000002</v>
      </c>
      <c r="F15" s="147">
        <f>'P y G'!G7</f>
        <v>24107386.116000004</v>
      </c>
      <c r="G15" s="147">
        <f>'P y G'!H7</f>
        <v>26518124.727600008</v>
      </c>
    </row>
    <row r="16" spans="1:8" s="122" customFormat="1" x14ac:dyDescent="0.25">
      <c r="A16" s="122" t="s">
        <v>173</v>
      </c>
      <c r="B16" s="147">
        <f>'Pres. Ingresos, costos y gastos'!D85</f>
        <v>330000</v>
      </c>
      <c r="C16" s="147"/>
      <c r="D16" s="99">
        <f>'Pres. Ingresos, costos y gastos'!E85</f>
        <v>363000.00000000006</v>
      </c>
      <c r="E16" s="99">
        <f>'Pres. Ingresos, costos y gastos'!F85</f>
        <v>399300.00000000012</v>
      </c>
      <c r="F16" s="99">
        <f>'Pres. Ingresos, costos y gastos'!G85</f>
        <v>439230.00000000017</v>
      </c>
      <c r="G16" s="99">
        <f>'Pres. Ingresos, costos y gastos'!H85</f>
        <v>483153.00000000023</v>
      </c>
    </row>
    <row r="17" spans="1:8" s="122" customFormat="1" x14ac:dyDescent="0.25">
      <c r="A17" s="122" t="s">
        <v>175</v>
      </c>
      <c r="B17" s="147">
        <f>'Pres. Ingresos, costos y gastos'!D86</f>
        <v>10800000</v>
      </c>
      <c r="C17" s="147"/>
      <c r="D17" s="99">
        <f>'Pres. Ingresos, costos y gastos'!E86</f>
        <v>11880000.000000002</v>
      </c>
      <c r="E17" s="99">
        <f>'Pres. Ingresos, costos y gastos'!F86</f>
        <v>13068000.000000004</v>
      </c>
      <c r="F17" s="99">
        <f>'Pres. Ingresos, costos y gastos'!G86</f>
        <v>28749600.000000011</v>
      </c>
      <c r="G17" s="99">
        <f>'Pres. Ingresos, costos y gastos'!H86</f>
        <v>63249120.00000003</v>
      </c>
    </row>
    <row r="18" spans="1:8" s="122" customFormat="1" x14ac:dyDescent="0.25">
      <c r="A18" s="97" t="s">
        <v>174</v>
      </c>
      <c r="B18" s="147">
        <f>'Pres. Ingresos, costos y gastos'!D87</f>
        <v>15093530</v>
      </c>
      <c r="C18" s="147"/>
      <c r="D18" s="99">
        <f>'Pres. Ingresos, costos y gastos'!E87</f>
        <v>19923459.600000001</v>
      </c>
      <c r="E18" s="99">
        <f>'Pres. Ingresos, costos y gastos'!F87</f>
        <v>21915805.560000002</v>
      </c>
      <c r="F18" s="99">
        <f>'Pres. Ingresos, costos y gastos'!G87</f>
        <v>48214772.232000008</v>
      </c>
      <c r="G18" s="99">
        <f>'Pres. Ingresos, costos y gastos'!H87</f>
        <v>106072498.91040003</v>
      </c>
    </row>
    <row r="19" spans="1:8" s="122" customFormat="1" x14ac:dyDescent="0.25">
      <c r="A19" s="122" t="s">
        <v>14</v>
      </c>
      <c r="B19" s="151">
        <f>'Plan de inversión'!D28+'Plan de inversión'!D29+('FC y B'!B9/2*0.2)</f>
        <v>7883999.9999999991</v>
      </c>
      <c r="C19" s="147"/>
      <c r="D19" s="151">
        <f>'Plan de inversión'!D30+'Plan de inversión'!D31+('FC y B'!D9*0.2)</f>
        <v>7072844.2564868238</v>
      </c>
      <c r="E19" s="151">
        <f>'Plan de inversión'!D32+'Plan de inversión'!D33+('FC y B'!E9*0.2)</f>
        <v>3387872.4410223286</v>
      </c>
      <c r="F19" s="151">
        <f>'Plan de inversión'!D34+('FC y B'!E9*0.2)</f>
        <v>0</v>
      </c>
      <c r="G19" s="151">
        <f>'Plan de inversión'!F34+('FC y B'!F9*0.2)</f>
        <v>0</v>
      </c>
    </row>
    <row r="20" spans="1:8" s="122" customFormat="1" x14ac:dyDescent="0.25">
      <c r="A20" s="122" t="s">
        <v>196</v>
      </c>
      <c r="B20" s="147">
        <f>'Gastos primer año'!C6+'Gastos primer año'!C7+'Gastos primer año'!C8</f>
        <v>8354790</v>
      </c>
      <c r="C20" s="147"/>
      <c r="D20" s="147"/>
      <c r="E20" s="147"/>
      <c r="F20" s="147"/>
      <c r="G20" s="147"/>
    </row>
    <row r="21" spans="1:8" s="122" customFormat="1" x14ac:dyDescent="0.25">
      <c r="A21" s="122" t="s">
        <v>192</v>
      </c>
      <c r="B21" s="147"/>
      <c r="C21" s="147"/>
      <c r="D21" s="147">
        <f>B46</f>
        <v>13157514.092267748</v>
      </c>
      <c r="E21" s="147">
        <f t="shared" ref="E21:G22" si="0">D46</f>
        <v>16842485.907732245</v>
      </c>
      <c r="F21" s="147">
        <f t="shared" si="0"/>
        <v>0</v>
      </c>
      <c r="G21" s="147">
        <f t="shared" si="0"/>
        <v>0</v>
      </c>
    </row>
    <row r="22" spans="1:8" s="122" customFormat="1" x14ac:dyDescent="0.25">
      <c r="A22" s="122" t="s">
        <v>67</v>
      </c>
      <c r="B22" s="147"/>
      <c r="C22" s="148"/>
      <c r="D22" s="99">
        <f>'P y G'!C34</f>
        <v>0</v>
      </c>
      <c r="E22" s="99">
        <f t="shared" si="0"/>
        <v>0</v>
      </c>
      <c r="F22" s="99">
        <f t="shared" si="0"/>
        <v>14401067.858234059</v>
      </c>
      <c r="G22" s="99">
        <f t="shared" si="0"/>
        <v>73670076.566931427</v>
      </c>
    </row>
    <row r="23" spans="1:8" s="122" customFormat="1" x14ac:dyDescent="0.25">
      <c r="A23" s="145" t="s">
        <v>68</v>
      </c>
      <c r="B23" s="107"/>
      <c r="C23" s="150">
        <f>SUM(B13:B22)</f>
        <v>65910542</v>
      </c>
      <c r="D23" s="150">
        <f>SUM(D13:D22)</f>
        <v>76209862.148754582</v>
      </c>
      <c r="E23" s="150">
        <f>SUM(E13:E22)</f>
        <v>85882906.188754588</v>
      </c>
      <c r="F23" s="150">
        <f>SUM(F13:F22)</f>
        <v>125340636.59823409</v>
      </c>
      <c r="G23" s="150">
        <f>SUM(G13:G22)</f>
        <v>287497168.62903154</v>
      </c>
    </row>
    <row r="24" spans="1:8" s="122" customFormat="1" x14ac:dyDescent="0.25">
      <c r="B24" s="147"/>
      <c r="C24" s="147"/>
      <c r="D24" s="147"/>
      <c r="E24" s="147"/>
      <c r="F24" s="147"/>
      <c r="G24" s="147"/>
    </row>
    <row r="25" spans="1:8" s="122" customFormat="1" x14ac:dyDescent="0.25">
      <c r="A25" s="95" t="s">
        <v>69</v>
      </c>
      <c r="B25" s="147"/>
      <c r="C25" s="147">
        <f>+C10-C23</f>
        <v>-33444857.84</v>
      </c>
      <c r="D25" s="147">
        <f>+D10-D23</f>
        <v>-35287403.444754586</v>
      </c>
      <c r="E25" s="147">
        <f>+E10-E23</f>
        <v>27990655.091245413</v>
      </c>
      <c r="F25" s="147">
        <f>+F10-F23</f>
        <v>210035129.83376589</v>
      </c>
      <c r="G25" s="147">
        <f>+G10-G23</f>
        <v>473603008.1069684</v>
      </c>
    </row>
    <row r="26" spans="1:8" s="122" customFormat="1" x14ac:dyDescent="0.25">
      <c r="A26" s="95" t="s">
        <v>70</v>
      </c>
      <c r="B26" s="147"/>
      <c r="C26" s="147">
        <f>'Plan de inversión'!D15+'Plan de inversión'!E15</f>
        <v>81000000</v>
      </c>
      <c r="D26" s="147">
        <f>+C27</f>
        <v>47555142.159999996</v>
      </c>
      <c r="E26" s="147">
        <f>+D27</f>
        <v>12267738.715245411</v>
      </c>
      <c r="F26" s="147">
        <f>+E27</f>
        <v>40258393.806490824</v>
      </c>
      <c r="G26" s="147">
        <f>+F27</f>
        <v>250293523.6402567</v>
      </c>
    </row>
    <row r="27" spans="1:8" s="122" customFormat="1" x14ac:dyDescent="0.25">
      <c r="A27" s="145" t="s">
        <v>71</v>
      </c>
      <c r="B27" s="152"/>
      <c r="C27" s="153">
        <f>SUM(C25:C26)</f>
        <v>47555142.159999996</v>
      </c>
      <c r="D27" s="153">
        <f>SUM(D25:D26)</f>
        <v>12267738.715245411</v>
      </c>
      <c r="E27" s="153">
        <f>SUM(E25:E26)</f>
        <v>40258393.806490824</v>
      </c>
      <c r="F27" s="153">
        <f>SUM(F25:F26)</f>
        <v>250293523.6402567</v>
      </c>
      <c r="G27" s="153">
        <f>SUM(G25:G26)</f>
        <v>723896531.74722505</v>
      </c>
    </row>
    <row r="29" spans="1:8" x14ac:dyDescent="0.25">
      <c r="A29" s="322"/>
    </row>
    <row r="30" spans="1:8" s="86" customFormat="1" ht="3" customHeight="1" x14ac:dyDescent="0.25">
      <c r="B30" s="87"/>
      <c r="C30" s="87"/>
      <c r="D30" s="87"/>
      <c r="E30" s="87"/>
      <c r="F30" s="87"/>
      <c r="G30" s="87"/>
      <c r="H30" s="87"/>
    </row>
    <row r="32" spans="1:8" x14ac:dyDescent="0.25">
      <c r="B32" s="270" t="s">
        <v>200</v>
      </c>
      <c r="C32" s="270"/>
      <c r="D32" s="270"/>
      <c r="E32" s="270"/>
      <c r="F32" s="270"/>
      <c r="G32" s="270"/>
    </row>
    <row r="33" spans="1:8" x14ac:dyDescent="0.25">
      <c r="B33" s="272" t="s">
        <v>300</v>
      </c>
      <c r="C33" s="272"/>
      <c r="D33" s="272"/>
      <c r="E33" s="272"/>
      <c r="F33" s="272"/>
      <c r="G33" s="272"/>
      <c r="H33" s="82"/>
    </row>
    <row r="34" spans="1:8" x14ac:dyDescent="0.25">
      <c r="B34" s="271" t="s">
        <v>208</v>
      </c>
      <c r="C34" s="271"/>
      <c r="D34" s="271"/>
      <c r="E34" s="271"/>
      <c r="F34" s="271"/>
      <c r="G34" s="271"/>
    </row>
    <row r="35" spans="1:8" x14ac:dyDescent="0.25">
      <c r="B35" s="81"/>
      <c r="C35" s="81"/>
      <c r="D35" s="81"/>
      <c r="E35" s="81"/>
      <c r="F35" s="81"/>
      <c r="G35" s="81"/>
    </row>
    <row r="36" spans="1:8" s="122" customFormat="1" x14ac:dyDescent="0.25">
      <c r="A36" s="133"/>
      <c r="B36" s="273" t="s">
        <v>54</v>
      </c>
      <c r="C36" s="273"/>
      <c r="D36" s="132" t="s">
        <v>55</v>
      </c>
      <c r="E36" s="132" t="s">
        <v>56</v>
      </c>
      <c r="F36" s="132" t="s">
        <v>56</v>
      </c>
      <c r="G36" s="132" t="s">
        <v>56</v>
      </c>
    </row>
    <row r="37" spans="1:8" s="122" customFormat="1" x14ac:dyDescent="0.25">
      <c r="A37" s="338" t="s">
        <v>72</v>
      </c>
      <c r="B37" s="331">
        <f>+C27</f>
        <v>47555142.159999996</v>
      </c>
      <c r="C37" s="331"/>
      <c r="D37" s="331">
        <f>D27</f>
        <v>12267738.715245411</v>
      </c>
      <c r="E37" s="331">
        <f>+E27</f>
        <v>40258393.806490824</v>
      </c>
      <c r="F37" s="331">
        <f>+F27</f>
        <v>250293523.6402567</v>
      </c>
      <c r="G37" s="331">
        <f>+G27</f>
        <v>723896531.74722505</v>
      </c>
    </row>
    <row r="38" spans="1:8" s="122" customFormat="1" x14ac:dyDescent="0.25">
      <c r="A38" s="134" t="s">
        <v>73</v>
      </c>
      <c r="B38" s="331"/>
      <c r="C38" s="331"/>
      <c r="D38" s="331"/>
      <c r="E38" s="331"/>
      <c r="F38" s="331"/>
      <c r="G38" s="331"/>
    </row>
    <row r="39" spans="1:8" s="122" customFormat="1" x14ac:dyDescent="0.25">
      <c r="A39" s="145" t="s">
        <v>0</v>
      </c>
      <c r="B39" s="332"/>
      <c r="C39" s="332">
        <f>SUM(B37:B38)</f>
        <v>47555142.159999996</v>
      </c>
      <c r="D39" s="332">
        <f>SUM(D37:D38)</f>
        <v>12267738.715245411</v>
      </c>
      <c r="E39" s="332">
        <f>SUM(E37:E38)</f>
        <v>40258393.806490824</v>
      </c>
      <c r="F39" s="332">
        <f>SUM(F37:F38)</f>
        <v>250293523.6402567</v>
      </c>
      <c r="G39" s="332">
        <f>SUM(G37:G38)</f>
        <v>723896531.74722505</v>
      </c>
    </row>
    <row r="40" spans="1:8" s="122" customFormat="1" x14ac:dyDescent="0.25">
      <c r="A40" s="134" t="s">
        <v>180</v>
      </c>
      <c r="B40" s="331">
        <f>'Gastos primer año'!C6+'Gastos primer año'!C7+'Gastos primer año'!C8</f>
        <v>8354790</v>
      </c>
      <c r="C40" s="331"/>
      <c r="D40" s="331">
        <f>+B40</f>
        <v>8354790</v>
      </c>
      <c r="E40" s="331">
        <f>+D40</f>
        <v>8354790</v>
      </c>
      <c r="F40" s="331">
        <f>+E40</f>
        <v>8354790</v>
      </c>
      <c r="G40" s="331">
        <f>+F40</f>
        <v>8354790</v>
      </c>
    </row>
    <row r="41" spans="1:8" s="122" customFormat="1" x14ac:dyDescent="0.25">
      <c r="A41" s="134" t="s">
        <v>74</v>
      </c>
      <c r="B41" s="331">
        <f>-'P y G'!C9</f>
        <v>-1193541.4285714286</v>
      </c>
      <c r="C41" s="331"/>
      <c r="D41" s="331">
        <f>B41-'P y G'!E9</f>
        <v>-2387082.8571428573</v>
      </c>
      <c r="E41" s="331">
        <f>D41-'P y G'!F9</f>
        <v>-3580624.2857142859</v>
      </c>
      <c r="F41" s="331">
        <f>E41-'P y G'!G9</f>
        <v>-4774165.7142857146</v>
      </c>
      <c r="G41" s="331">
        <f>F41-'P y G'!H9</f>
        <v>-5967707.1428571437</v>
      </c>
      <c r="H41" s="96"/>
    </row>
    <row r="42" spans="1:8" s="122" customFormat="1" x14ac:dyDescent="0.25">
      <c r="A42" s="145" t="s">
        <v>1</v>
      </c>
      <c r="B42" s="333"/>
      <c r="C42" s="332">
        <f>SUM(B40:B41)</f>
        <v>7161248.5714285709</v>
      </c>
      <c r="D42" s="332">
        <f>SUM(D40:D41)</f>
        <v>5967707.1428571427</v>
      </c>
      <c r="E42" s="332">
        <f>SUM(E40:E41)</f>
        <v>4774165.7142857146</v>
      </c>
      <c r="F42" s="332">
        <f>SUM(F40:F41)</f>
        <v>3580624.2857142854</v>
      </c>
      <c r="G42" s="332">
        <f>SUM(G40:G41)</f>
        <v>2387082.8571428563</v>
      </c>
    </row>
    <row r="43" spans="1:8" s="122" customFormat="1" x14ac:dyDescent="0.25">
      <c r="A43" s="145" t="s">
        <v>2</v>
      </c>
      <c r="B43" s="334"/>
      <c r="C43" s="335">
        <f>SUM(C39:C42)</f>
        <v>54716390.731428564</v>
      </c>
      <c r="D43" s="335">
        <f>D42+D39</f>
        <v>18235445.858102553</v>
      </c>
      <c r="E43" s="335">
        <f>E42+E39</f>
        <v>45032559.52077654</v>
      </c>
      <c r="F43" s="335">
        <f>F42+F39</f>
        <v>253874147.925971</v>
      </c>
      <c r="G43" s="335">
        <f>G42+G39</f>
        <v>726283614.60436785</v>
      </c>
    </row>
    <row r="44" spans="1:8" s="122" customFormat="1" x14ac:dyDescent="0.25">
      <c r="B44" s="331"/>
      <c r="C44" s="331"/>
      <c r="D44" s="331"/>
      <c r="E44" s="331"/>
      <c r="F44" s="331"/>
      <c r="G44" s="331"/>
    </row>
    <row r="45" spans="1:8" s="122" customFormat="1" x14ac:dyDescent="0.25">
      <c r="A45" s="134" t="s">
        <v>75</v>
      </c>
      <c r="B45" s="331">
        <f>+B9</f>
        <v>0</v>
      </c>
      <c r="C45" s="331"/>
      <c r="D45" s="331">
        <f>+D9</f>
        <v>0</v>
      </c>
      <c r="E45" s="331">
        <f>E9</f>
        <v>0</v>
      </c>
      <c r="F45" s="331">
        <f>F9</f>
        <v>0</v>
      </c>
      <c r="G45" s="331">
        <f>G9</f>
        <v>0</v>
      </c>
    </row>
    <row r="46" spans="1:8" s="122" customFormat="1" x14ac:dyDescent="0.25">
      <c r="A46" s="134" t="s">
        <v>197</v>
      </c>
      <c r="B46" s="331">
        <f>'Plan de inversión'!C30+'Plan de inversión'!C31</f>
        <v>13157514.092267748</v>
      </c>
      <c r="C46" s="331"/>
      <c r="D46" s="331">
        <f>'Plan de inversión'!C32+'Plan de inversión'!C33</f>
        <v>16842485.907732245</v>
      </c>
      <c r="E46" s="331">
        <f>'Plan de inversión'!F33</f>
        <v>0</v>
      </c>
      <c r="F46" s="331">
        <f>'Plan de inversión'!H33</f>
        <v>0</v>
      </c>
      <c r="G46" s="331">
        <f>'Plan de inversión'!J33</f>
        <v>0</v>
      </c>
    </row>
    <row r="47" spans="1:8" s="122" customFormat="1" x14ac:dyDescent="0.25">
      <c r="A47" s="134" t="s">
        <v>3</v>
      </c>
      <c r="B47" s="331">
        <f>'P y G'!C34</f>
        <v>0</v>
      </c>
      <c r="C47" s="331"/>
      <c r="D47" s="331">
        <f>'P y G'!E34</f>
        <v>0</v>
      </c>
      <c r="E47" s="331">
        <f>'P y G'!F34</f>
        <v>14401067.858234059</v>
      </c>
      <c r="F47" s="331">
        <f>'P y G'!G34</f>
        <v>73670076.566931427</v>
      </c>
      <c r="G47" s="331">
        <f>'P y G'!H34</f>
        <v>180206249.27095839</v>
      </c>
    </row>
    <row r="48" spans="1:8" s="122" customFormat="1" x14ac:dyDescent="0.25">
      <c r="A48" s="145" t="s">
        <v>4</v>
      </c>
      <c r="B48" s="333"/>
      <c r="C48" s="332">
        <f>SUM(B45:B47)</f>
        <v>13157514.092267748</v>
      </c>
      <c r="D48" s="332">
        <f>SUM(D45:D47)</f>
        <v>16842485.907732245</v>
      </c>
      <c r="E48" s="332">
        <f>SUM(E45:E47)</f>
        <v>14401067.858234059</v>
      </c>
      <c r="F48" s="332">
        <f>SUM(F45:F47)</f>
        <v>73670076.566931427</v>
      </c>
      <c r="G48" s="332">
        <f>SUM(G45:G47)</f>
        <v>180206249.27095839</v>
      </c>
    </row>
    <row r="49" spans="1:7" s="122" customFormat="1" x14ac:dyDescent="0.25">
      <c r="A49" s="134" t="s">
        <v>76</v>
      </c>
      <c r="B49" s="331">
        <f>'Plan de inversión'!F31</f>
        <v>16842485.907732252</v>
      </c>
      <c r="C49" s="333"/>
      <c r="D49" s="331">
        <f>'Plan de inversión'!F33</f>
        <v>0</v>
      </c>
      <c r="E49" s="331"/>
      <c r="F49" s="331"/>
      <c r="G49" s="331"/>
    </row>
    <row r="50" spans="1:7" s="122" customFormat="1" x14ac:dyDescent="0.25">
      <c r="A50" s="145" t="s">
        <v>77</v>
      </c>
      <c r="B50" s="333"/>
      <c r="C50" s="332">
        <f>SUM(B49)</f>
        <v>16842485.907732252</v>
      </c>
      <c r="D50" s="332">
        <f>SUM(D49)</f>
        <v>0</v>
      </c>
      <c r="E50" s="332">
        <f>SUM(E49)</f>
        <v>0</v>
      </c>
      <c r="F50" s="332">
        <f>SUM(F49)</f>
        <v>0</v>
      </c>
      <c r="G50" s="332">
        <f>SUM(G49)</f>
        <v>0</v>
      </c>
    </row>
    <row r="51" spans="1:7" s="122" customFormat="1" x14ac:dyDescent="0.25">
      <c r="A51" s="145" t="s">
        <v>5</v>
      </c>
      <c r="B51" s="333"/>
      <c r="C51" s="332">
        <f>SUM(C47:C50)</f>
        <v>30000000</v>
      </c>
      <c r="D51" s="332">
        <f>D50+D48</f>
        <v>16842485.907732245</v>
      </c>
      <c r="E51" s="332">
        <f>E50+E48</f>
        <v>14401067.858234059</v>
      </c>
      <c r="F51" s="332">
        <f>F50+F48</f>
        <v>73670076.566931427</v>
      </c>
      <c r="G51" s="332">
        <f>G50+G48</f>
        <v>180206249.27095839</v>
      </c>
    </row>
    <row r="52" spans="1:7" s="122" customFormat="1" x14ac:dyDescent="0.25">
      <c r="A52" s="134" t="s">
        <v>6</v>
      </c>
      <c r="B52" s="331">
        <f>'Plan de inversión'!D15+'Plan de inversión'!E15</f>
        <v>81000000</v>
      </c>
      <c r="C52" s="331"/>
      <c r="D52" s="331">
        <f>B52</f>
        <v>81000000</v>
      </c>
      <c r="E52" s="331">
        <f>+D52</f>
        <v>81000000</v>
      </c>
      <c r="F52" s="331">
        <f>+E52</f>
        <v>81000000</v>
      </c>
      <c r="G52" s="331">
        <f>+F52</f>
        <v>81000000</v>
      </c>
    </row>
    <row r="53" spans="1:7" s="122" customFormat="1" x14ac:dyDescent="0.25">
      <c r="A53" s="134" t="s">
        <v>7</v>
      </c>
      <c r="B53" s="331"/>
      <c r="C53" s="331"/>
      <c r="D53" s="331"/>
      <c r="E53" s="331"/>
      <c r="F53" s="331">
        <f>E55*0.1</f>
        <v>2923853.171217218</v>
      </c>
      <c r="G53" s="331">
        <f>F53+(F55*0.1)</f>
        <v>17881111.140866928</v>
      </c>
    </row>
    <row r="54" spans="1:7" s="122" customFormat="1" x14ac:dyDescent="0.25">
      <c r="A54" s="100" t="s">
        <v>8</v>
      </c>
      <c r="B54" s="331"/>
      <c r="C54" s="331"/>
      <c r="D54" s="331">
        <f>B55</f>
        <v>-56283609.268571429</v>
      </c>
      <c r="E54" s="331">
        <f>D54+(D55)</f>
        <v>-79607040.049629688</v>
      </c>
      <c r="F54" s="331">
        <f>E54+(E55*0.9)</f>
        <v>-53292361.508674726</v>
      </c>
      <c r="G54" s="331">
        <f>F54+(F55*0.9)</f>
        <v>81322960.218172684</v>
      </c>
    </row>
    <row r="55" spans="1:7" s="122" customFormat="1" x14ac:dyDescent="0.25">
      <c r="A55" s="100" t="s">
        <v>9</v>
      </c>
      <c r="B55" s="331">
        <f>+'P y G'!D35</f>
        <v>-56283609.268571429</v>
      </c>
      <c r="C55" s="331"/>
      <c r="D55" s="331">
        <f>+'P y G'!E35</f>
        <v>-23323430.781058259</v>
      </c>
      <c r="E55" s="331">
        <f>+'P y G'!F35</f>
        <v>29238531.712172177</v>
      </c>
      <c r="F55" s="331">
        <f>+'P y G'!G35</f>
        <v>149572579.69649711</v>
      </c>
      <c r="G55" s="331">
        <f>+'P y G'!H35</f>
        <v>365873293.97437</v>
      </c>
    </row>
    <row r="56" spans="1:7" s="122" customFormat="1" x14ac:dyDescent="0.25">
      <c r="A56" s="145" t="s">
        <v>10</v>
      </c>
      <c r="B56" s="333"/>
      <c r="C56" s="332">
        <f>SUM(B52:B55)</f>
        <v>24716390.731428571</v>
      </c>
      <c r="D56" s="332">
        <f>SUM(D52:D55)</f>
        <v>1392959.9503703117</v>
      </c>
      <c r="E56" s="332">
        <f>SUM(E52:E55)</f>
        <v>30631491.662542488</v>
      </c>
      <c r="F56" s="332">
        <f>SUM(F52:F55)</f>
        <v>180204071.3590396</v>
      </c>
      <c r="G56" s="332">
        <f>SUM(G52:G55)</f>
        <v>546077365.33340955</v>
      </c>
    </row>
    <row r="57" spans="1:7" s="122" customFormat="1" x14ac:dyDescent="0.25">
      <c r="A57" s="133" t="s">
        <v>11</v>
      </c>
      <c r="B57" s="334"/>
      <c r="C57" s="335">
        <f>+C51+C56</f>
        <v>54716390.731428571</v>
      </c>
      <c r="D57" s="335">
        <f>+D51+D56</f>
        <v>18235445.858102556</v>
      </c>
      <c r="E57" s="335">
        <f>+E51+E56</f>
        <v>45032559.520776547</v>
      </c>
      <c r="F57" s="335">
        <f>+F51+F56</f>
        <v>253874147.92597103</v>
      </c>
      <c r="G57" s="335">
        <f>+G51+G56</f>
        <v>726283614.60436797</v>
      </c>
    </row>
    <row r="60" spans="1:7" x14ac:dyDescent="0.25">
      <c r="A60" s="88" t="s">
        <v>91</v>
      </c>
      <c r="B60" s="89"/>
      <c r="C60" s="90">
        <f>C43-C57</f>
        <v>0</v>
      </c>
      <c r="D60" s="90">
        <f>D43-D57</f>
        <v>0</v>
      </c>
      <c r="E60" s="90">
        <f>E43-E57</f>
        <v>0</v>
      </c>
      <c r="F60" s="90">
        <f>F43-F57</f>
        <v>0</v>
      </c>
      <c r="G60" s="90">
        <f>G43-G57</f>
        <v>0</v>
      </c>
    </row>
  </sheetData>
  <dataConsolidate/>
  <mergeCells count="8">
    <mergeCell ref="B1:G1"/>
    <mergeCell ref="B3:G3"/>
    <mergeCell ref="B2:G2"/>
    <mergeCell ref="B5:C5"/>
    <mergeCell ref="B36:C36"/>
    <mergeCell ref="B32:G32"/>
    <mergeCell ref="B33:G33"/>
    <mergeCell ref="B34:G34"/>
  </mergeCells>
  <phoneticPr fontId="0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22"/>
  <sheetViews>
    <sheetView showGridLines="0" zoomScale="90" zoomScaleNormal="90" workbookViewId="0">
      <selection activeCell="A5" sqref="A5:F13"/>
    </sheetView>
  </sheetViews>
  <sheetFormatPr baseColWidth="10" defaultRowHeight="15.75" x14ac:dyDescent="0.25"/>
  <cols>
    <col min="1" max="1" width="28.140625" style="80" bestFit="1" customWidth="1"/>
    <col min="2" max="2" width="17.140625" style="83" customWidth="1"/>
    <col min="3" max="4" width="17.140625" style="83" bestFit="1" customWidth="1"/>
    <col min="5" max="6" width="18.28515625" style="83" bestFit="1" customWidth="1"/>
    <col min="7" max="7" width="14.140625" style="80" bestFit="1" customWidth="1"/>
    <col min="8" max="16384" width="11.42578125" style="80"/>
  </cols>
  <sheetData>
    <row r="1" spans="1:11" x14ac:dyDescent="0.25">
      <c r="B1" s="270" t="s">
        <v>200</v>
      </c>
      <c r="C1" s="270"/>
      <c r="D1" s="270"/>
      <c r="E1" s="270"/>
      <c r="F1" s="270"/>
    </row>
    <row r="2" spans="1:11" x14ac:dyDescent="0.25">
      <c r="B2" s="272" t="s">
        <v>291</v>
      </c>
      <c r="C2" s="272"/>
      <c r="D2" s="272"/>
      <c r="E2" s="272"/>
      <c r="F2" s="272"/>
      <c r="G2" s="82"/>
    </row>
    <row r="3" spans="1:11" x14ac:dyDescent="0.25">
      <c r="B3" s="271" t="s">
        <v>208</v>
      </c>
      <c r="C3" s="271"/>
      <c r="D3" s="271"/>
      <c r="E3" s="271"/>
      <c r="F3" s="271"/>
      <c r="G3" s="82"/>
    </row>
    <row r="5" spans="1:11" s="122" customFormat="1" x14ac:dyDescent="0.25">
      <c r="A5" s="133" t="s">
        <v>255</v>
      </c>
      <c r="B5" s="182" t="s">
        <v>61</v>
      </c>
      <c r="C5" s="182" t="s">
        <v>28</v>
      </c>
      <c r="D5" s="182" t="s">
        <v>32</v>
      </c>
      <c r="E5" s="182" t="s">
        <v>193</v>
      </c>
      <c r="F5" s="182" t="s">
        <v>193</v>
      </c>
    </row>
    <row r="6" spans="1:11" s="122" customFormat="1" hidden="1" x14ac:dyDescent="0.25">
      <c r="A6" s="133"/>
      <c r="B6" s="182"/>
      <c r="C6" s="182"/>
      <c r="D6" s="182"/>
      <c r="E6" s="182"/>
      <c r="F6" s="182"/>
    </row>
    <row r="7" spans="1:11" s="122" customFormat="1" hidden="1" x14ac:dyDescent="0.25">
      <c r="A7" s="122" t="s">
        <v>292</v>
      </c>
      <c r="B7" s="147"/>
      <c r="C7" s="147"/>
      <c r="D7" s="147"/>
      <c r="E7" s="147"/>
      <c r="F7" s="147"/>
    </row>
    <row r="8" spans="1:11" customFormat="1" ht="12.75" x14ac:dyDescent="0.2">
      <c r="A8" s="325" t="s">
        <v>256</v>
      </c>
      <c r="B8" s="143">
        <f>'P y G'!D25/'P y G'!D23</f>
        <v>-8.9938847920292542</v>
      </c>
      <c r="C8" s="324">
        <f>'P y G'!E25/'P y G'!E23</f>
        <v>0.38892758596327581</v>
      </c>
      <c r="D8" s="324">
        <f>'P y G'!F25/'P y G'!F23</f>
        <v>0.72370247004738764</v>
      </c>
      <c r="E8" s="324">
        <f>'P y G'!G25/'P y G'!G23</f>
        <v>0.8964459826479052</v>
      </c>
      <c r="F8" s="324">
        <f>'P y G'!H25/'P y G'!H23</f>
        <v>0.94059144517061999</v>
      </c>
      <c r="G8" s="56"/>
      <c r="H8" s="56"/>
      <c r="I8" s="56"/>
      <c r="J8" s="56"/>
      <c r="K8" s="56"/>
    </row>
    <row r="9" spans="1:11" customFormat="1" ht="12.75" x14ac:dyDescent="0.2">
      <c r="A9" s="325" t="s">
        <v>257</v>
      </c>
      <c r="B9" s="143">
        <f>'P y G'!D31/'P y G'!D23</f>
        <v>-19.629281825199957</v>
      </c>
      <c r="C9" s="324">
        <f>'P y G'!E31/'P y G'!E23</f>
        <v>-0.39710679756842204</v>
      </c>
      <c r="D9" s="324">
        <f>'P y G'!F31/'P y G'!F23</f>
        <v>0.41297972490554014</v>
      </c>
      <c r="E9" s="324">
        <f>'P y G'!G31/'P y G'!G23</f>
        <v>0.665649336081928</v>
      </c>
      <c r="F9" s="324">
        <f>'P y G'!H31/'P y G'!H23</f>
        <v>0.71748707980492965</v>
      </c>
      <c r="G9" s="56"/>
      <c r="H9" s="56"/>
      <c r="I9" s="56"/>
      <c r="J9" s="56"/>
      <c r="K9" s="56"/>
    </row>
    <row r="10" spans="1:11" customFormat="1" ht="12.75" x14ac:dyDescent="0.2">
      <c r="A10" s="325" t="s">
        <v>258</v>
      </c>
      <c r="B10" s="143">
        <f>'P y G'!D35/'P y G'!D23</f>
        <v>-22.826771644820653</v>
      </c>
      <c r="C10" s="324">
        <f>'P y G'!E35/'P y G'!E23</f>
        <v>-0.56994206896904986</v>
      </c>
      <c r="D10" s="324">
        <f>'P y G'!F35/'P y G'!F23</f>
        <v>0.25676312730993367</v>
      </c>
      <c r="E10" s="324">
        <f>'P y G'!G35/'P y G'!G23</f>
        <v>0.44598505517489173</v>
      </c>
      <c r="F10" s="324">
        <f>'P y G'!H35/'P y G'!H23</f>
        <v>0.48071634346930281</v>
      </c>
      <c r="G10" s="56"/>
      <c r="H10" s="56"/>
      <c r="I10" s="56"/>
      <c r="J10" s="56"/>
      <c r="K10" s="56"/>
    </row>
    <row r="11" spans="1:11" customFormat="1" ht="12.75" x14ac:dyDescent="0.2">
      <c r="A11" s="325" t="s">
        <v>259</v>
      </c>
      <c r="B11" s="143">
        <f>('P y G'!D35+'P y G'!C34+'P y G'!C32+'P y G'!C9)/'P y G'!D23</f>
        <v>-22.342710690082871</v>
      </c>
      <c r="C11" s="324">
        <f>('P y G'!E35+'P y G'!E34+'P y G'!E32+'P y G'!E9)/'P y G'!E23</f>
        <v>-0.36794087092641492</v>
      </c>
      <c r="D11" s="324">
        <f>('P y G'!F35+'P y G'!F34+'P y G'!F32+'P y G'!F9)/'P y G'!F23</f>
        <v>0.42346101147597298</v>
      </c>
      <c r="E11" s="324">
        <f>('P y G'!G35+'P y G'!G34+'P y G'!G32+'P y G'!G9)/'P y G'!G23</f>
        <v>0.66920815442252934</v>
      </c>
      <c r="F11" s="324">
        <f>('P y G'!H35+'P y G'!H34+'P y G'!H32+'P y G'!H9)/'P y G'!H23</f>
        <v>0.71905525895539313</v>
      </c>
      <c r="G11" s="56"/>
      <c r="H11" s="56"/>
      <c r="I11" s="56"/>
      <c r="J11" s="56"/>
      <c r="K11" s="56"/>
    </row>
    <row r="12" spans="1:11" customFormat="1" ht="12.75" x14ac:dyDescent="0.2">
      <c r="A12" s="325" t="s">
        <v>260</v>
      </c>
      <c r="B12" s="143">
        <f>'P y G'!D35/'FC y B'!C56</f>
        <v>-2.2771775167400552</v>
      </c>
      <c r="C12" s="324">
        <f>'P y G'!E35/'FC y B'!D56</f>
        <v>-16.743791359441339</v>
      </c>
      <c r="D12" s="324">
        <f>'P y G'!F35/'FC y B'!E56</f>
        <v>0.95452523286439606</v>
      </c>
      <c r="E12" s="324">
        <f>'P y G'!G35/'FC y B'!F56</f>
        <v>0.83001776024520479</v>
      </c>
      <c r="F12" s="324">
        <f>'P y G'!H35/'FC y B'!G56</f>
        <v>0.6700026721506479</v>
      </c>
      <c r="G12" s="56"/>
      <c r="H12" s="56"/>
      <c r="I12" s="56"/>
      <c r="J12" s="56"/>
      <c r="K12" s="56"/>
    </row>
    <row r="13" spans="1:11" customFormat="1" ht="12.75" x14ac:dyDescent="0.2">
      <c r="A13" s="325" t="s">
        <v>261</v>
      </c>
      <c r="B13" s="143">
        <f>'P y G'!D35/'FC y B'!C43</f>
        <v>-1.0286425788724889</v>
      </c>
      <c r="C13" s="324">
        <f>'P y G'!E35/'FC y B'!D43</f>
        <v>-1.2790162062692294</v>
      </c>
      <c r="D13" s="324">
        <f>'P y G'!F35/'FC y B'!E43</f>
        <v>0.64927536927325846</v>
      </c>
      <c r="E13" s="324">
        <f>'P y G'!G35/'FC y B'!F43</f>
        <v>0.58916034152525076</v>
      </c>
      <c r="F13" s="324">
        <f>'P y G'!H35/'FC y B'!G43</f>
        <v>0.50376090912318605</v>
      </c>
      <c r="G13" s="56"/>
      <c r="H13" s="56"/>
      <c r="I13" s="56"/>
      <c r="J13" s="56"/>
      <c r="K13" s="56"/>
    </row>
    <row r="15" spans="1:11" x14ac:dyDescent="0.25">
      <c r="A15" s="80" t="s">
        <v>293</v>
      </c>
    </row>
    <row r="16" spans="1:11" x14ac:dyDescent="0.25">
      <c r="A16" s="326" t="s">
        <v>295</v>
      </c>
      <c r="B16" s="328">
        <f>'FC y B'!C39/'FC y B'!C48</f>
        <v>3.6142953620658966</v>
      </c>
      <c r="C16" s="328">
        <f>'FC y B'!D39/'FC y B'!D48</f>
        <v>0.72838052425582822</v>
      </c>
      <c r="D16" s="328">
        <f>'FC y B'!E39/'FC y B'!E48</f>
        <v>2.79551448564784</v>
      </c>
      <c r="E16" s="328">
        <f>'FC y B'!F39/'FC y B'!F48</f>
        <v>3.3974923782366058</v>
      </c>
      <c r="F16" s="328">
        <f>'FC y B'!G39/'FC y B'!G48</f>
        <v>4.0170445513172695</v>
      </c>
    </row>
    <row r="17" spans="1:6" x14ac:dyDescent="0.25">
      <c r="A17" s="326" t="s">
        <v>299</v>
      </c>
      <c r="B17" s="329">
        <f>('FC y B'!C39-'FC y B'!C48)/1000000</f>
        <v>34.397628067732242</v>
      </c>
      <c r="C17" s="329">
        <f>('FC y B'!D39-'FC y B'!D48)/1000000</f>
        <v>-4.5747471924868339</v>
      </c>
      <c r="D17" s="329">
        <f>('FC y B'!E39-'FC y B'!E48)/1000000</f>
        <v>25.857325948256765</v>
      </c>
      <c r="E17" s="329">
        <f>('FC y B'!F39-'FC y B'!F48)/1000000</f>
        <v>176.62344707332528</v>
      </c>
      <c r="F17" s="329">
        <f>('FC y B'!G39-'FC y B'!G48)/1000000</f>
        <v>543.69028247626659</v>
      </c>
    </row>
    <row r="19" spans="1:6" x14ac:dyDescent="0.25">
      <c r="A19" s="80" t="s">
        <v>294</v>
      </c>
    </row>
    <row r="20" spans="1:6" x14ac:dyDescent="0.25">
      <c r="A20" s="326" t="s">
        <v>296</v>
      </c>
      <c r="B20" s="330">
        <f>'FC y B'!C51/'FC y B'!C57</f>
        <v>0.54828177807364564</v>
      </c>
      <c r="C20" s="330">
        <f>'FC y B'!D51/'FC y B'!D57</f>
        <v>0.92361250932883676</v>
      </c>
      <c r="D20" s="330">
        <f>'FC y B'!E51/'FC y B'!E57</f>
        <v>0.3197923460599631</v>
      </c>
      <c r="E20" s="330">
        <f>'FC y B'!F51/'FC y B'!F57</f>
        <v>0.29018345179601907</v>
      </c>
      <c r="F20" s="330">
        <f>'FC y B'!G51/'FC y B'!G57</f>
        <v>0.24812104479201699</v>
      </c>
    </row>
    <row r="21" spans="1:6" x14ac:dyDescent="0.25">
      <c r="A21" s="326" t="s">
        <v>297</v>
      </c>
      <c r="B21" s="327">
        <f>'P y G'!D35/'FC y B'!B19</f>
        <v>-7.1389661680075385</v>
      </c>
      <c r="C21" s="327">
        <f>'P y G'!E35/'FC y B'!D19</f>
        <v>-3.2976027656295828</v>
      </c>
      <c r="D21" s="327">
        <f>'P y G'!F35/'FC y B'!E19</f>
        <v>8.630352004442388</v>
      </c>
      <c r="E21" s="327">
        <v>0</v>
      </c>
      <c r="F21" s="327">
        <v>0</v>
      </c>
    </row>
    <row r="22" spans="1:6" x14ac:dyDescent="0.25">
      <c r="A22" s="326" t="s">
        <v>298</v>
      </c>
      <c r="B22" s="330">
        <f>'FC y B'!C48/'FC y B'!C51</f>
        <v>0.43858380307559158</v>
      </c>
      <c r="C22" s="330">
        <f>'FC y B'!D48/'FC y B'!D51</f>
        <v>1</v>
      </c>
      <c r="D22" s="330">
        <f>'FC y B'!E48/'FC y B'!E51</f>
        <v>1</v>
      </c>
      <c r="E22" s="330">
        <f>'FC y B'!F48/'FC y B'!F51</f>
        <v>1</v>
      </c>
      <c r="F22" s="330">
        <f>'FC y B'!G48/'FC y B'!G51</f>
        <v>1</v>
      </c>
    </row>
  </sheetData>
  <dataConsolidate/>
  <mergeCells count="3">
    <mergeCell ref="B1:F1"/>
    <mergeCell ref="B2:F2"/>
    <mergeCell ref="B3:F3"/>
  </mergeCells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showGridLines="0" view="pageBreakPreview" zoomScaleNormal="100" zoomScaleSheetLayoutView="100" workbookViewId="0">
      <selection activeCell="L15" sqref="L15"/>
    </sheetView>
  </sheetViews>
  <sheetFormatPr baseColWidth="10" defaultRowHeight="15" x14ac:dyDescent="0.25"/>
  <cols>
    <col min="1" max="2" width="11.42578125" style="281"/>
    <col min="3" max="3" width="5.85546875" style="281" bestFit="1" customWidth="1"/>
    <col min="4" max="4" width="8.7109375" style="281" customWidth="1"/>
    <col min="5" max="5" width="4.85546875" style="281" bestFit="1" customWidth="1"/>
    <col min="6" max="6" width="8.7109375" style="281" customWidth="1"/>
    <col min="7" max="7" width="11.42578125" style="281"/>
    <col min="8" max="8" width="21.7109375" style="281" bestFit="1" customWidth="1"/>
    <col min="9" max="9" width="12.140625" style="281" bestFit="1" customWidth="1"/>
    <col min="10" max="10" width="18.28515625" style="281" customWidth="1"/>
    <col min="11" max="11" width="12.140625" style="281" bestFit="1" customWidth="1"/>
    <col min="12" max="12" width="27.5703125" style="281" bestFit="1" customWidth="1"/>
    <col min="13" max="13" width="8.140625" style="281" customWidth="1"/>
    <col min="14" max="16384" width="11.42578125" style="281"/>
  </cols>
  <sheetData>
    <row r="2" spans="2:13" x14ac:dyDescent="0.25">
      <c r="B2" s="281" t="s">
        <v>235</v>
      </c>
      <c r="J2" s="282" t="s">
        <v>236</v>
      </c>
      <c r="K2" s="282"/>
    </row>
    <row r="3" spans="2:13" x14ac:dyDescent="0.25">
      <c r="H3" s="283" t="s">
        <v>237</v>
      </c>
      <c r="I3" s="284"/>
      <c r="J3" s="283" t="s">
        <v>238</v>
      </c>
    </row>
    <row r="4" spans="2:13" x14ac:dyDescent="0.25">
      <c r="B4" s="281" t="s">
        <v>239</v>
      </c>
    </row>
    <row r="5" spans="2:13" x14ac:dyDescent="0.25">
      <c r="B5" s="281" t="s">
        <v>240</v>
      </c>
      <c r="H5" s="285" t="s">
        <v>241</v>
      </c>
      <c r="I5" s="286">
        <v>0.28000000000000003</v>
      </c>
      <c r="J5" s="285" t="s">
        <v>242</v>
      </c>
      <c r="K5" s="286">
        <v>4.41E-2</v>
      </c>
      <c r="L5" s="281" t="s">
        <v>285</v>
      </c>
      <c r="M5" s="313" t="s">
        <v>282</v>
      </c>
    </row>
    <row r="6" spans="2:13" x14ac:dyDescent="0.25">
      <c r="H6" s="285" t="s">
        <v>243</v>
      </c>
      <c r="I6" s="286">
        <f>ke</f>
        <v>0.19989999999999999</v>
      </c>
      <c r="J6" s="285" t="s">
        <v>244</v>
      </c>
      <c r="K6" s="317">
        <f>0.178-K5</f>
        <v>0.13389999999999999</v>
      </c>
      <c r="L6" s="281" t="s">
        <v>288</v>
      </c>
      <c r="M6" s="313" t="s">
        <v>287</v>
      </c>
    </row>
    <row r="7" spans="2:13" x14ac:dyDescent="0.25">
      <c r="B7" s="281" t="s">
        <v>245</v>
      </c>
      <c r="H7" s="285" t="s">
        <v>246</v>
      </c>
      <c r="I7" s="286">
        <f>(I5*(1-'P y G'!C15)*C9)+(I6*C10)</f>
        <v>0.19657567567567569</v>
      </c>
      <c r="J7" s="285" t="s">
        <v>247</v>
      </c>
      <c r="K7" s="316">
        <v>1</v>
      </c>
    </row>
    <row r="8" spans="2:13" x14ac:dyDescent="0.25">
      <c r="H8" s="287" t="s">
        <v>248</v>
      </c>
      <c r="J8" s="285" t="s">
        <v>249</v>
      </c>
      <c r="K8" s="286">
        <v>2.1899999999999999E-2</v>
      </c>
      <c r="L8" s="281" t="s">
        <v>289</v>
      </c>
      <c r="M8" s="313" t="s">
        <v>286</v>
      </c>
    </row>
    <row r="9" spans="2:13" x14ac:dyDescent="0.25">
      <c r="B9" s="281" t="s">
        <v>250</v>
      </c>
      <c r="C9" s="288">
        <f>'Plan de inversión'!C15/'Plan de inversión'!F15</f>
        <v>0.27027027027027029</v>
      </c>
      <c r="E9" s="289">
        <v>0.25</v>
      </c>
      <c r="J9" s="285" t="s">
        <v>243</v>
      </c>
      <c r="K9" s="315">
        <f>K6*K7+K5+K8</f>
        <v>0.19989999999999999</v>
      </c>
    </row>
    <row r="10" spans="2:13" x14ac:dyDescent="0.25">
      <c r="B10" s="281" t="s">
        <v>251</v>
      </c>
      <c r="C10" s="288">
        <f>SUM('Plan de inversión'!D15:E15)/'Plan de inversión'!F15</f>
        <v>0.72972972972972971</v>
      </c>
    </row>
    <row r="11" spans="2:13" x14ac:dyDescent="0.25">
      <c r="H11" s="33" t="s">
        <v>252</v>
      </c>
      <c r="I11" s="33"/>
    </row>
    <row r="12" spans="2:13" x14ac:dyDescent="0.25">
      <c r="B12" s="281" t="s">
        <v>253</v>
      </c>
      <c r="C12" s="288"/>
      <c r="H12" s="33"/>
      <c r="I12" s="33"/>
      <c r="J12" s="342">
        <f>I5*(1-'P y G'!C15)</f>
        <v>0.18759999999999999</v>
      </c>
      <c r="K12" s="343"/>
    </row>
    <row r="13" spans="2:13" x14ac:dyDescent="0.25">
      <c r="H13" s="33" t="s">
        <v>243</v>
      </c>
      <c r="I13" s="318">
        <f>ko+(C9/C10)*(ko-I5)</f>
        <v>0.14981481481481479</v>
      </c>
      <c r="J13" s="342"/>
      <c r="K13" s="342"/>
    </row>
    <row r="14" spans="2:13" x14ac:dyDescent="0.25">
      <c r="H14" s="33" t="s">
        <v>254</v>
      </c>
      <c r="I14" s="319">
        <v>0.185</v>
      </c>
      <c r="J14" s="342"/>
      <c r="K14" s="344">
        <f>C9*J12</f>
        <v>5.0702702702702704E-2</v>
      </c>
    </row>
    <row r="15" spans="2:13" x14ac:dyDescent="0.25">
      <c r="J15" s="342"/>
      <c r="K15" s="344">
        <f>C10*I6</f>
        <v>0.14587297297297297</v>
      </c>
    </row>
    <row r="16" spans="2:13" x14ac:dyDescent="0.25">
      <c r="J16" s="342"/>
      <c r="K16" s="344">
        <f>SUM(K14:K15)</f>
        <v>0.19657567567567569</v>
      </c>
    </row>
    <row r="21" spans="8:13" x14ac:dyDescent="0.25">
      <c r="J21" s="290"/>
      <c r="M21" s="291"/>
    </row>
    <row r="23" spans="8:13" x14ac:dyDescent="0.25">
      <c r="H23" s="292"/>
      <c r="J23" s="292"/>
    </row>
    <row r="24" spans="8:13" x14ac:dyDescent="0.25">
      <c r="H24" s="293"/>
    </row>
    <row r="25" spans="8:13" x14ac:dyDescent="0.25">
      <c r="H25" s="293"/>
    </row>
  </sheetData>
  <hyperlinks>
    <hyperlink ref="M5" r:id="rId1"/>
    <hyperlink ref="M8" r:id="rId2"/>
    <hyperlink ref="M6" r:id="rId3"/>
  </hyperlinks>
  <pageMargins left="0.31496062992125984" right="0.31496062992125984" top="0.55118110236220474" bottom="0.55118110236220474" header="0.31496062992125984" footer="0.31496062992125984"/>
  <pageSetup scale="8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Capacidad</vt:lpstr>
      <vt:lpstr>Presupuesto recurso humano</vt:lpstr>
      <vt:lpstr>Gastos primer año</vt:lpstr>
      <vt:lpstr>Pres. Ingresos, costos y gastos</vt:lpstr>
      <vt:lpstr>Plan de inversión</vt:lpstr>
      <vt:lpstr>P y G</vt:lpstr>
      <vt:lpstr>FC y B</vt:lpstr>
      <vt:lpstr>INDICADORES</vt:lpstr>
      <vt:lpstr>WACC</vt:lpstr>
      <vt:lpstr>VPN &amp; EVA</vt:lpstr>
      <vt:lpstr>Evaluación</vt:lpstr>
      <vt:lpstr>'VPN &amp; EVA'!Área_de_impresión</vt:lpstr>
      <vt:lpstr>WACC!Área_de_impresión</vt:lpstr>
      <vt:lpstr>ke</vt:lpstr>
      <vt:lpstr>ko</vt:lpstr>
      <vt:lpstr>wacc</vt:lpstr>
    </vt:vector>
  </TitlesOfParts>
  <Company>Macropos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 station</dc:creator>
  <cp:lastModifiedBy>LinaDiego</cp:lastModifiedBy>
  <cp:lastPrinted>2004-10-14T14:50:12Z</cp:lastPrinted>
  <dcterms:created xsi:type="dcterms:W3CDTF">2003-10-05T11:56:54Z</dcterms:created>
  <dcterms:modified xsi:type="dcterms:W3CDTF">2018-11-03T22:20:37Z</dcterms:modified>
</cp:coreProperties>
</file>